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od-print-fil-01\personligtdrev\hhw\FGU Sekretariat\Bestyrelsesmøder\22. september d. 03.09.21\"/>
    </mc:Choice>
  </mc:AlternateContent>
  <xr:revisionPtr revIDLastSave="0" documentId="8_{61A825EC-E183-4E84-8E40-9361B2C02858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Likviditetsoversigt" sheetId="13" r:id="rId1"/>
    <sheet name="Samlet regnskab" sheetId="1" r:id="rId2"/>
    <sheet name="ESTIMAT" sheetId="10" r:id="rId3"/>
    <sheet name="ESTIMAT Sammenligning" sheetId="14" r:id="rId4"/>
    <sheet name="Fælles adm." sheetId="3" r:id="rId5"/>
    <sheet name="Odense" sheetId="9" r:id="rId6"/>
    <sheet name="Laks" sheetId="8" r:id="rId7"/>
    <sheet name="Assens" sheetId="7" r:id="rId8"/>
    <sheet name="Nyborg" sheetId="6" r:id="rId9"/>
    <sheet name="Nordfyn" sheetId="5" r:id="rId10"/>
    <sheet name="Kerteminde" sheetId="4" r:id="rId11"/>
    <sheet name="Særlige tilskud" sheetId="2" r:id="rId12"/>
    <sheet name="Øvrige tilskud" sheetId="12" r:id="rId13"/>
    <sheet name="Taksameter" sheetId="11" r:id="rId14"/>
  </sheets>
  <externalReferences>
    <externalReference r:id="rId15"/>
    <externalReference r:id="rId1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7" l="1"/>
  <c r="L10" i="14"/>
  <c r="L45" i="14"/>
  <c r="H41" i="4"/>
  <c r="H41" i="5"/>
  <c r="H41" i="6"/>
  <c r="H41" i="7"/>
  <c r="H41" i="9"/>
  <c r="F23" i="11"/>
  <c r="E23" i="11"/>
  <c r="D23" i="11"/>
  <c r="C23" i="11"/>
  <c r="B23" i="11"/>
  <c r="R44" i="10"/>
  <c r="L244" i="14"/>
  <c r="L242" i="14"/>
  <c r="L241" i="14"/>
  <c r="L240" i="14"/>
  <c r="L239" i="14"/>
  <c r="L238" i="14"/>
  <c r="L236" i="14"/>
  <c r="L234" i="14"/>
  <c r="L233" i="14"/>
  <c r="L232" i="14"/>
  <c r="L231" i="14"/>
  <c r="L228" i="14"/>
  <c r="L226" i="14"/>
  <c r="L225" i="14"/>
  <c r="L222" i="14"/>
  <c r="L221" i="14"/>
  <c r="L218" i="14"/>
  <c r="L217" i="14"/>
  <c r="L216" i="14"/>
  <c r="L215" i="14"/>
  <c r="L214" i="14"/>
  <c r="L213" i="14"/>
  <c r="L212" i="14"/>
  <c r="L211" i="14"/>
  <c r="L208" i="14"/>
  <c r="L207" i="14"/>
  <c r="L206" i="14"/>
  <c r="L205" i="14"/>
  <c r="L204" i="14"/>
  <c r="L203" i="14"/>
  <c r="L202" i="14"/>
  <c r="L201" i="14"/>
  <c r="L200" i="14"/>
  <c r="L197" i="14"/>
  <c r="L196" i="14"/>
  <c r="L195" i="14"/>
  <c r="L194" i="14"/>
  <c r="L193" i="14"/>
  <c r="L192" i="14"/>
  <c r="L191" i="14"/>
  <c r="L190" i="14"/>
  <c r="L189" i="14"/>
  <c r="L188" i="14"/>
  <c r="L187" i="14"/>
  <c r="L186" i="14"/>
  <c r="L185" i="14"/>
  <c r="L184" i="14"/>
  <c r="L183" i="14"/>
  <c r="L182" i="14"/>
  <c r="L181" i="14"/>
  <c r="L180" i="14"/>
  <c r="L179" i="14"/>
  <c r="L178" i="14"/>
  <c r="L177" i="14"/>
  <c r="L176" i="14"/>
  <c r="L175" i="14"/>
  <c r="L174" i="14"/>
  <c r="L173" i="14"/>
  <c r="L172" i="14"/>
  <c r="L171" i="14"/>
  <c r="L170" i="14"/>
  <c r="L169" i="14"/>
  <c r="L168" i="14"/>
  <c r="L167" i="14"/>
  <c r="L166" i="14"/>
  <c r="L165" i="14"/>
  <c r="L164" i="14"/>
  <c r="L163" i="14"/>
  <c r="L162" i="14"/>
  <c r="L161" i="14"/>
  <c r="L160" i="14"/>
  <c r="L159" i="14"/>
  <c r="L158" i="14"/>
  <c r="L157" i="14"/>
  <c r="L156" i="14"/>
  <c r="L155" i="14"/>
  <c r="L154" i="14"/>
  <c r="L153" i="14"/>
  <c r="L152" i="14"/>
  <c r="L151" i="14"/>
  <c r="L150" i="14"/>
  <c r="L149" i="14"/>
  <c r="L148" i="14"/>
  <c r="L147" i="14"/>
  <c r="L146" i="14"/>
  <c r="L145" i="14"/>
  <c r="L144" i="14"/>
  <c r="L143" i="14"/>
  <c r="L142" i="14"/>
  <c r="L141" i="14"/>
  <c r="L140" i="14"/>
  <c r="L139" i="14"/>
  <c r="L138" i="14"/>
  <c r="L135" i="14"/>
  <c r="L134" i="14"/>
  <c r="L133" i="14"/>
  <c r="L132" i="14"/>
  <c r="L131" i="14"/>
  <c r="L130" i="14"/>
  <c r="L129" i="14"/>
  <c r="L126" i="14"/>
  <c r="L125" i="14"/>
  <c r="L124" i="14"/>
  <c r="L122" i="14"/>
  <c r="L121" i="14"/>
  <c r="L120" i="14"/>
  <c r="L119" i="14"/>
  <c r="L118" i="14"/>
  <c r="L117" i="14"/>
  <c r="L116" i="14"/>
  <c r="L115" i="14"/>
  <c r="L114" i="14"/>
  <c r="L111" i="14"/>
  <c r="L110" i="14"/>
  <c r="L109" i="14"/>
  <c r="L106" i="14"/>
  <c r="L105" i="14"/>
  <c r="L104" i="14"/>
  <c r="L103" i="14"/>
  <c r="L102" i="14"/>
  <c r="L101" i="14"/>
  <c r="L100" i="14"/>
  <c r="L99" i="14"/>
  <c r="L98" i="14"/>
  <c r="L97" i="14"/>
  <c r="L96" i="14"/>
  <c r="L95" i="14"/>
  <c r="L94" i="14"/>
  <c r="L93" i="14"/>
  <c r="L92" i="14"/>
  <c r="L91" i="14"/>
  <c r="L90" i="14"/>
  <c r="L89" i="14"/>
  <c r="L88" i="14"/>
  <c r="L87" i="14"/>
  <c r="L86" i="14"/>
  <c r="L85" i="14"/>
  <c r="L84" i="14"/>
  <c r="L81" i="14"/>
  <c r="L80" i="14"/>
  <c r="L79" i="14"/>
  <c r="L76" i="14"/>
  <c r="L75" i="14"/>
  <c r="L74" i="14"/>
  <c r="L73" i="14"/>
  <c r="L72" i="14"/>
  <c r="L69" i="14"/>
  <c r="L68" i="14"/>
  <c r="L67" i="14"/>
  <c r="L64" i="14"/>
  <c r="L62" i="14"/>
  <c r="L61" i="14"/>
  <c r="L58" i="14"/>
  <c r="L57" i="14"/>
  <c r="L56" i="14"/>
  <c r="L55" i="14"/>
  <c r="L54" i="14"/>
  <c r="L53" i="14"/>
  <c r="L52" i="14"/>
  <c r="L51" i="14"/>
  <c r="L50" i="14"/>
  <c r="L49" i="14"/>
  <c r="L48" i="14"/>
  <c r="L43" i="14"/>
  <c r="L42" i="14"/>
  <c r="L41" i="14"/>
  <c r="L40" i="14"/>
  <c r="L39" i="14"/>
  <c r="L34" i="14"/>
  <c r="L32" i="14"/>
  <c r="L30" i="14"/>
  <c r="L28" i="14"/>
  <c r="L27" i="14"/>
  <c r="L26" i="14"/>
  <c r="L25" i="14"/>
  <c r="L24" i="14"/>
  <c r="L23" i="14"/>
  <c r="L21" i="14"/>
  <c r="L20" i="14"/>
  <c r="L17" i="14"/>
  <c r="L16" i="14"/>
  <c r="L13" i="14"/>
  <c r="L12" i="14"/>
  <c r="L11" i="14"/>
  <c r="I12" i="13" l="1"/>
  <c r="I9" i="13" l="1"/>
  <c r="I10" i="13"/>
  <c r="I5" i="13"/>
  <c r="H142" i="3" l="1"/>
  <c r="H116" i="3"/>
  <c r="H164" i="4"/>
  <c r="H162" i="4"/>
  <c r="H151" i="4"/>
  <c r="H151" i="5"/>
  <c r="H164" i="6"/>
  <c r="H162" i="6"/>
  <c r="H163" i="7"/>
  <c r="H164" i="9"/>
  <c r="H115" i="3"/>
  <c r="H175" i="6"/>
  <c r="H175" i="7"/>
  <c r="H175" i="9"/>
  <c r="H151" i="7"/>
  <c r="H240" i="4" l="1"/>
  <c r="H215" i="4"/>
  <c r="H214" i="4"/>
  <c r="H178" i="4"/>
  <c r="H172" i="4"/>
  <c r="H163" i="4"/>
  <c r="H154" i="4"/>
  <c r="H148" i="4"/>
  <c r="H143" i="4"/>
  <c r="H131" i="4"/>
  <c r="H118" i="4"/>
  <c r="H116" i="4"/>
  <c r="H115" i="4"/>
  <c r="H106" i="4"/>
  <c r="H95" i="4"/>
  <c r="H62" i="4"/>
  <c r="H54" i="4"/>
  <c r="H215" i="5"/>
  <c r="H178" i="5"/>
  <c r="H168" i="5"/>
  <c r="H164" i="5"/>
  <c r="H163" i="5"/>
  <c r="H162" i="5"/>
  <c r="H148" i="5"/>
  <c r="H116" i="5"/>
  <c r="H115" i="5"/>
  <c r="H75" i="5"/>
  <c r="H62" i="5"/>
  <c r="H52" i="5"/>
  <c r="H215" i="6"/>
  <c r="H179" i="6"/>
  <c r="H159" i="6"/>
  <c r="H147" i="6"/>
  <c r="H116" i="6"/>
  <c r="H115" i="6"/>
  <c r="H62" i="6"/>
  <c r="H215" i="7"/>
  <c r="H178" i="7"/>
  <c r="H164" i="7"/>
  <c r="H162" i="7"/>
  <c r="H58" i="7"/>
  <c r="H116" i="7"/>
  <c r="H115" i="7"/>
  <c r="H76" i="7"/>
  <c r="H55" i="7"/>
  <c r="H45" i="9"/>
  <c r="H193" i="8"/>
  <c r="H188" i="8"/>
  <c r="H177" i="8"/>
  <c r="H176" i="8"/>
  <c r="H175" i="8"/>
  <c r="H166" i="8"/>
  <c r="H164" i="8"/>
  <c r="H167" i="8"/>
  <c r="H162" i="8"/>
  <c r="H159" i="8"/>
  <c r="H151" i="8"/>
  <c r="H146" i="8"/>
  <c r="H143" i="8"/>
  <c r="H76" i="8"/>
  <c r="H215" i="9"/>
  <c r="H206" i="9"/>
  <c r="H191" i="9"/>
  <c r="H190" i="9"/>
  <c r="H182" i="9"/>
  <c r="H178" i="9"/>
  <c r="H172" i="9"/>
  <c r="H154" i="9"/>
  <c r="H172" i="3"/>
  <c r="H131" i="3"/>
  <c r="H121" i="9"/>
  <c r="H118" i="9"/>
  <c r="H116" i="9"/>
  <c r="H115" i="9"/>
  <c r="H62" i="9"/>
  <c r="H52" i="9"/>
  <c r="H214" i="3"/>
  <c r="H206" i="3"/>
  <c r="H185" i="3"/>
  <c r="H183" i="3"/>
  <c r="H178" i="3"/>
  <c r="H175" i="3"/>
  <c r="H174" i="3"/>
  <c r="H157" i="3"/>
  <c r="H151" i="3"/>
  <c r="H147" i="3"/>
  <c r="H146" i="3"/>
  <c r="H118" i="3"/>
  <c r="H120" i="3"/>
  <c r="H106" i="3"/>
  <c r="H103" i="3"/>
  <c r="H86" i="3"/>
  <c r="H76" i="3"/>
  <c r="H56" i="3"/>
  <c r="H45" i="2"/>
  <c r="H141" i="4"/>
  <c r="H141" i="5"/>
  <c r="H141" i="6"/>
  <c r="H141" i="7"/>
  <c r="H141" i="9"/>
  <c r="P36" i="1" l="1"/>
  <c r="O36" i="1"/>
  <c r="N36" i="1"/>
  <c r="M36" i="1"/>
  <c r="L36" i="1"/>
  <c r="K36" i="1"/>
  <c r="J36" i="1"/>
  <c r="I36" i="1"/>
  <c r="G36" i="1"/>
  <c r="F9" i="11"/>
  <c r="E9" i="11"/>
  <c r="D9" i="11"/>
  <c r="C9" i="11"/>
  <c r="B9" i="11"/>
  <c r="H40" i="9" s="1"/>
  <c r="L39" i="10" s="1"/>
  <c r="F21" i="11"/>
  <c r="E21" i="11"/>
  <c r="D21" i="11"/>
  <c r="C21" i="11"/>
  <c r="B21" i="11"/>
  <c r="L48" i="10"/>
  <c r="L49" i="10"/>
  <c r="L50" i="10"/>
  <c r="L51" i="10"/>
  <c r="L52" i="10"/>
  <c r="L53" i="10"/>
  <c r="L54" i="10"/>
  <c r="L55" i="10"/>
  <c r="L56" i="10"/>
  <c r="L57" i="10"/>
  <c r="L59" i="10"/>
  <c r="L60" i="10"/>
  <c r="L61" i="10"/>
  <c r="L67" i="10"/>
  <c r="L68" i="10"/>
  <c r="L69" i="10"/>
  <c r="L72" i="10"/>
  <c r="L73" i="10"/>
  <c r="L74" i="10"/>
  <c r="L75" i="10"/>
  <c r="L76" i="10"/>
  <c r="L79" i="10"/>
  <c r="L80" i="10"/>
  <c r="L81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9" i="10"/>
  <c r="L110" i="10"/>
  <c r="L111" i="10"/>
  <c r="L114" i="10"/>
  <c r="L115" i="10"/>
  <c r="L116" i="10"/>
  <c r="L117" i="10"/>
  <c r="L118" i="10"/>
  <c r="L119" i="10"/>
  <c r="L120" i="10"/>
  <c r="L129" i="10"/>
  <c r="L130" i="10"/>
  <c r="L131" i="10"/>
  <c r="L132" i="10"/>
  <c r="L133" i="10"/>
  <c r="L134" i="10"/>
  <c r="L135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200" i="10"/>
  <c r="L201" i="10"/>
  <c r="L202" i="10"/>
  <c r="L203" i="10"/>
  <c r="L204" i="10"/>
  <c r="L205" i="10"/>
  <c r="L206" i="10"/>
  <c r="L207" i="10"/>
  <c r="L211" i="10"/>
  <c r="L212" i="10"/>
  <c r="L213" i="10"/>
  <c r="L214" i="10"/>
  <c r="L215" i="10"/>
  <c r="L216" i="10"/>
  <c r="L217" i="10"/>
  <c r="L221" i="10"/>
  <c r="L222" i="10"/>
  <c r="L225" i="10"/>
  <c r="L226" i="10"/>
  <c r="L229" i="10"/>
  <c r="L230" i="10"/>
  <c r="L231" i="10"/>
  <c r="L232" i="10"/>
  <c r="L233" i="10"/>
  <c r="L234" i="10"/>
  <c r="H235" i="10"/>
  <c r="L238" i="10"/>
  <c r="L239" i="10"/>
  <c r="L240" i="10"/>
  <c r="L241" i="10"/>
  <c r="L242" i="10"/>
  <c r="L43" i="10"/>
  <c r="L42" i="10"/>
  <c r="L41" i="10"/>
  <c r="L40" i="10"/>
  <c r="L32" i="10"/>
  <c r="L28" i="10"/>
  <c r="L27" i="10"/>
  <c r="L23" i="10"/>
  <c r="L18" i="10"/>
  <c r="L17" i="10"/>
  <c r="L16" i="10"/>
  <c r="H44" i="3"/>
  <c r="H243" i="3"/>
  <c r="H235" i="3"/>
  <c r="H227" i="3"/>
  <c r="H223" i="3"/>
  <c r="H28" i="3" s="1"/>
  <c r="K27" i="10" s="1"/>
  <c r="H219" i="3"/>
  <c r="H27" i="3" s="1"/>
  <c r="K26" i="10" s="1"/>
  <c r="H209" i="3"/>
  <c r="K208" i="10" s="1"/>
  <c r="H155" i="3"/>
  <c r="H198" i="3"/>
  <c r="H136" i="3"/>
  <c r="H122" i="3"/>
  <c r="H112" i="3"/>
  <c r="H107" i="3"/>
  <c r="K106" i="10" s="1"/>
  <c r="H77" i="3"/>
  <c r="H18" i="3" s="1"/>
  <c r="K17" i="10" s="1"/>
  <c r="H63" i="3"/>
  <c r="H59" i="3"/>
  <c r="H12" i="3" s="1"/>
  <c r="K11" i="10" s="1"/>
  <c r="H46" i="3"/>
  <c r="H33" i="3"/>
  <c r="H29" i="3"/>
  <c r="H24" i="3"/>
  <c r="H13" i="3"/>
  <c r="H40" i="7"/>
  <c r="H40" i="5"/>
  <c r="H40" i="6"/>
  <c r="O39" i="10"/>
  <c r="H40" i="4"/>
  <c r="F8" i="12"/>
  <c r="H243" i="2"/>
  <c r="H33" i="2" s="1"/>
  <c r="R32" i="10" s="1"/>
  <c r="H235" i="2"/>
  <c r="H227" i="2"/>
  <c r="R226" i="10" s="1"/>
  <c r="H223" i="2"/>
  <c r="H219" i="2"/>
  <c r="H209" i="2"/>
  <c r="H198" i="2"/>
  <c r="H25" i="2" s="1"/>
  <c r="R24" i="10" s="1"/>
  <c r="H136" i="2"/>
  <c r="H116" i="2"/>
  <c r="H115" i="2"/>
  <c r="H122" i="2" s="1"/>
  <c r="H112" i="2"/>
  <c r="H107" i="2"/>
  <c r="H82" i="2"/>
  <c r="R81" i="10" s="1"/>
  <c r="H77" i="2"/>
  <c r="R76" i="10" s="1"/>
  <c r="H63" i="2"/>
  <c r="H59" i="2"/>
  <c r="H12" i="2" s="1"/>
  <c r="R11" i="10" s="1"/>
  <c r="H46" i="2"/>
  <c r="H11" i="2" s="1"/>
  <c r="H29" i="2"/>
  <c r="H28" i="2"/>
  <c r="H27" i="2"/>
  <c r="H26" i="2"/>
  <c r="H24" i="2"/>
  <c r="H13" i="2"/>
  <c r="H243" i="4"/>
  <c r="H33" i="4" s="1"/>
  <c r="Q32" i="10" s="1"/>
  <c r="H235" i="4"/>
  <c r="H227" i="4"/>
  <c r="H29" i="4" s="1"/>
  <c r="Q28" i="10" s="1"/>
  <c r="H223" i="4"/>
  <c r="Q222" i="10" s="1"/>
  <c r="H219" i="4"/>
  <c r="Q218" i="10" s="1"/>
  <c r="H209" i="4"/>
  <c r="H198" i="4"/>
  <c r="H136" i="4"/>
  <c r="H24" i="4" s="1"/>
  <c r="Q23" i="10" s="1"/>
  <c r="H122" i="4"/>
  <c r="H112" i="4"/>
  <c r="H90" i="4"/>
  <c r="Q89" i="10" s="1"/>
  <c r="H82" i="4"/>
  <c r="H77" i="4"/>
  <c r="H63" i="4"/>
  <c r="H59" i="4"/>
  <c r="H12" i="4" s="1"/>
  <c r="Q11" i="10" s="1"/>
  <c r="H45" i="4"/>
  <c r="H46" i="4" s="1"/>
  <c r="H26" i="4"/>
  <c r="Q25" i="10" s="1"/>
  <c r="H18" i="4"/>
  <c r="H243" i="5"/>
  <c r="H235" i="5"/>
  <c r="H227" i="5"/>
  <c r="H223" i="5"/>
  <c r="H219" i="5"/>
  <c r="H27" i="5" s="1"/>
  <c r="P26" i="10" s="1"/>
  <c r="H209" i="5"/>
  <c r="P208" i="10" s="1"/>
  <c r="P161" i="10"/>
  <c r="H198" i="5"/>
  <c r="H136" i="5"/>
  <c r="H24" i="5" s="1"/>
  <c r="P23" i="10" s="1"/>
  <c r="H135" i="5"/>
  <c r="H122" i="5"/>
  <c r="H123" i="5" s="1"/>
  <c r="H112" i="5"/>
  <c r="H107" i="5"/>
  <c r="H106" i="5"/>
  <c r="P105" i="10" s="1"/>
  <c r="H90" i="5"/>
  <c r="H82" i="5"/>
  <c r="H77" i="5"/>
  <c r="H63" i="5"/>
  <c r="H59" i="5"/>
  <c r="H12" i="5" s="1"/>
  <c r="P11" i="10" s="1"/>
  <c r="H57" i="5"/>
  <c r="P56" i="10" s="1"/>
  <c r="H45" i="5"/>
  <c r="H33" i="5"/>
  <c r="H29" i="5"/>
  <c r="H28" i="5"/>
  <c r="P27" i="10" s="1"/>
  <c r="H18" i="5"/>
  <c r="P17" i="10" s="1"/>
  <c r="H243" i="8"/>
  <c r="M242" i="10" s="1"/>
  <c r="H235" i="8"/>
  <c r="M234" i="10" s="1"/>
  <c r="H227" i="8"/>
  <c r="H223" i="8"/>
  <c r="H219" i="8"/>
  <c r="H209" i="8"/>
  <c r="H26" i="8" s="1"/>
  <c r="M25" i="10" s="1"/>
  <c r="H198" i="8"/>
  <c r="H136" i="8"/>
  <c r="H116" i="8"/>
  <c r="H122" i="8" s="1"/>
  <c r="H123" i="8" s="1"/>
  <c r="H112" i="8"/>
  <c r="H107" i="8"/>
  <c r="M106" i="10" s="1"/>
  <c r="H82" i="8"/>
  <c r="H77" i="8"/>
  <c r="H18" i="8" s="1"/>
  <c r="M17" i="10" s="1"/>
  <c r="H63" i="8"/>
  <c r="M62" i="10" s="1"/>
  <c r="H59" i="8"/>
  <c r="H46" i="8"/>
  <c r="H33" i="8"/>
  <c r="M32" i="10" s="1"/>
  <c r="H29" i="8"/>
  <c r="H28" i="8"/>
  <c r="M27" i="10" s="1"/>
  <c r="H27" i="8"/>
  <c r="H24" i="8"/>
  <c r="H13" i="8"/>
  <c r="M12" i="10" s="1"/>
  <c r="H12" i="8"/>
  <c r="H11" i="8"/>
  <c r="H243" i="7"/>
  <c r="H33" i="7" s="1"/>
  <c r="N32" i="10" s="1"/>
  <c r="H235" i="7"/>
  <c r="H227" i="7"/>
  <c r="H223" i="7"/>
  <c r="N222" i="10" s="1"/>
  <c r="H219" i="7"/>
  <c r="H27" i="7" s="1"/>
  <c r="N26" i="10" s="1"/>
  <c r="H209" i="7"/>
  <c r="H154" i="7"/>
  <c r="N153" i="10" s="1"/>
  <c r="H148" i="7"/>
  <c r="H198" i="7"/>
  <c r="H136" i="7"/>
  <c r="H122" i="7"/>
  <c r="H123" i="7" s="1"/>
  <c r="H112" i="7"/>
  <c r="N111" i="10" s="1"/>
  <c r="H107" i="7"/>
  <c r="H90" i="7"/>
  <c r="H82" i="7"/>
  <c r="H77" i="7"/>
  <c r="H63" i="7"/>
  <c r="H13" i="7" s="1"/>
  <c r="N12" i="10" s="1"/>
  <c r="N57" i="10"/>
  <c r="H45" i="7"/>
  <c r="H29" i="7"/>
  <c r="N28" i="10" s="1"/>
  <c r="H26" i="7"/>
  <c r="H24" i="7"/>
  <c r="H18" i="7"/>
  <c r="N17" i="10" s="1"/>
  <c r="H11" i="7"/>
  <c r="H243" i="6"/>
  <c r="H33" i="6" s="1"/>
  <c r="O32" i="10" s="1"/>
  <c r="H235" i="6"/>
  <c r="H227" i="6"/>
  <c r="O226" i="10" s="1"/>
  <c r="H223" i="6"/>
  <c r="H219" i="6"/>
  <c r="H209" i="6"/>
  <c r="H151" i="6"/>
  <c r="H148" i="6"/>
  <c r="O140" i="10"/>
  <c r="H136" i="6"/>
  <c r="H24" i="6" s="1"/>
  <c r="O23" i="10" s="1"/>
  <c r="H122" i="6"/>
  <c r="H112" i="6"/>
  <c r="O111" i="10" s="1"/>
  <c r="H106" i="6"/>
  <c r="O105" i="10" s="1"/>
  <c r="H90" i="6"/>
  <c r="H107" i="6" s="1"/>
  <c r="O106" i="10" s="1"/>
  <c r="H82" i="6"/>
  <c r="H77" i="6"/>
  <c r="H63" i="6"/>
  <c r="O62" i="10" s="1"/>
  <c r="H59" i="6"/>
  <c r="H45" i="6"/>
  <c r="H29" i="6"/>
  <c r="H28" i="6"/>
  <c r="H26" i="6"/>
  <c r="H18" i="6"/>
  <c r="H12" i="6"/>
  <c r="O11" i="10" s="1"/>
  <c r="M26" i="10"/>
  <c r="M114" i="10"/>
  <c r="M111" i="10"/>
  <c r="M57" i="10"/>
  <c r="M28" i="10"/>
  <c r="M222" i="10"/>
  <c r="M23" i="10"/>
  <c r="C17" i="11"/>
  <c r="B17" i="11"/>
  <c r="H13" i="11"/>
  <c r="F13" i="11"/>
  <c r="E13" i="11"/>
  <c r="D13" i="11"/>
  <c r="C13" i="11"/>
  <c r="B13" i="11"/>
  <c r="G8" i="11"/>
  <c r="H6" i="11"/>
  <c r="F6" i="11"/>
  <c r="F7" i="11" s="1"/>
  <c r="F10" i="11" s="1"/>
  <c r="E6" i="11"/>
  <c r="D6" i="11"/>
  <c r="C6" i="11"/>
  <c r="C7" i="11" s="1"/>
  <c r="B6" i="11"/>
  <c r="G5" i="11"/>
  <c r="F17" i="11" s="1"/>
  <c r="H243" i="9"/>
  <c r="H33" i="9" s="1"/>
  <c r="H235" i="9"/>
  <c r="H227" i="9"/>
  <c r="H29" i="9" s="1"/>
  <c r="H223" i="9"/>
  <c r="H28" i="9" s="1"/>
  <c r="H219" i="9"/>
  <c r="L218" i="10" s="1"/>
  <c r="H209" i="9"/>
  <c r="H26" i="9" s="1"/>
  <c r="L25" i="10" s="1"/>
  <c r="H151" i="9"/>
  <c r="H148" i="9"/>
  <c r="H198" i="9"/>
  <c r="H25" i="9" s="1"/>
  <c r="L24" i="10" s="1"/>
  <c r="H136" i="9"/>
  <c r="H24" i="9" s="1"/>
  <c r="H122" i="9"/>
  <c r="L121" i="10" s="1"/>
  <c r="H112" i="9"/>
  <c r="H90" i="9"/>
  <c r="H107" i="9" s="1"/>
  <c r="L106" i="10" s="1"/>
  <c r="H82" i="9"/>
  <c r="H77" i="9"/>
  <c r="H63" i="9"/>
  <c r="H13" i="9" s="1"/>
  <c r="L12" i="10" s="1"/>
  <c r="H59" i="9"/>
  <c r="H12" i="9" s="1"/>
  <c r="L11" i="10" s="1"/>
  <c r="L44" i="10"/>
  <c r="H44" i="10" s="1"/>
  <c r="H18" i="9"/>
  <c r="K12" i="10"/>
  <c r="M45" i="10"/>
  <c r="N45" i="10"/>
  <c r="R242" i="10"/>
  <c r="P242" i="10"/>
  <c r="O242" i="10"/>
  <c r="N242" i="10"/>
  <c r="K242" i="10"/>
  <c r="R241" i="10"/>
  <c r="Q241" i="10"/>
  <c r="P241" i="10"/>
  <c r="O241" i="10"/>
  <c r="N241" i="10"/>
  <c r="M241" i="10"/>
  <c r="K241" i="10"/>
  <c r="R240" i="10"/>
  <c r="Q240" i="10"/>
  <c r="P240" i="10"/>
  <c r="O240" i="10"/>
  <c r="N240" i="10"/>
  <c r="M240" i="10"/>
  <c r="K240" i="10"/>
  <c r="R239" i="10"/>
  <c r="Q239" i="10"/>
  <c r="P239" i="10"/>
  <c r="O239" i="10"/>
  <c r="N239" i="10"/>
  <c r="M239" i="10"/>
  <c r="K239" i="10"/>
  <c r="R238" i="10"/>
  <c r="Q238" i="10"/>
  <c r="P238" i="10"/>
  <c r="O238" i="10"/>
  <c r="N238" i="10"/>
  <c r="M238" i="10"/>
  <c r="K238" i="10"/>
  <c r="K236" i="10"/>
  <c r="R234" i="10"/>
  <c r="Q234" i="10"/>
  <c r="P234" i="10"/>
  <c r="O234" i="10"/>
  <c r="N234" i="10"/>
  <c r="K234" i="10"/>
  <c r="R233" i="10"/>
  <c r="Q233" i="10"/>
  <c r="P233" i="10"/>
  <c r="O233" i="10"/>
  <c r="N233" i="10"/>
  <c r="M233" i="10"/>
  <c r="K233" i="10"/>
  <c r="R232" i="10"/>
  <c r="Q232" i="10"/>
  <c r="P232" i="10"/>
  <c r="O232" i="10"/>
  <c r="N232" i="10"/>
  <c r="M232" i="10"/>
  <c r="K232" i="10"/>
  <c r="R231" i="10"/>
  <c r="Q231" i="10"/>
  <c r="P231" i="10"/>
  <c r="O231" i="10"/>
  <c r="N231" i="10"/>
  <c r="M231" i="10"/>
  <c r="K231" i="10"/>
  <c r="P226" i="10"/>
  <c r="N226" i="10"/>
  <c r="M226" i="10"/>
  <c r="K226" i="10"/>
  <c r="R225" i="10"/>
  <c r="Q225" i="10"/>
  <c r="P225" i="10"/>
  <c r="O225" i="10"/>
  <c r="N225" i="10"/>
  <c r="M225" i="10"/>
  <c r="K225" i="10"/>
  <c r="R222" i="10"/>
  <c r="P222" i="10"/>
  <c r="O222" i="10"/>
  <c r="K222" i="10"/>
  <c r="R221" i="10"/>
  <c r="Q221" i="10"/>
  <c r="P221" i="10"/>
  <c r="O221" i="10"/>
  <c r="N221" i="10"/>
  <c r="M221" i="10"/>
  <c r="K221" i="10"/>
  <c r="N218" i="10"/>
  <c r="K218" i="10"/>
  <c r="R217" i="10"/>
  <c r="Q217" i="10"/>
  <c r="P217" i="10"/>
  <c r="O217" i="10"/>
  <c r="N217" i="10"/>
  <c r="M217" i="10"/>
  <c r="K217" i="10"/>
  <c r="R216" i="10"/>
  <c r="Q216" i="10"/>
  <c r="P216" i="10"/>
  <c r="O216" i="10"/>
  <c r="N216" i="10"/>
  <c r="M216" i="10"/>
  <c r="K216" i="10"/>
  <c r="R215" i="10"/>
  <c r="Q215" i="10"/>
  <c r="P215" i="10"/>
  <c r="O215" i="10"/>
  <c r="N215" i="10"/>
  <c r="M215" i="10"/>
  <c r="K215" i="10"/>
  <c r="R214" i="10"/>
  <c r="Q214" i="10"/>
  <c r="P214" i="10"/>
  <c r="O214" i="10"/>
  <c r="N214" i="10"/>
  <c r="M214" i="10"/>
  <c r="K214" i="10"/>
  <c r="R213" i="10"/>
  <c r="Q213" i="10"/>
  <c r="P213" i="10"/>
  <c r="O213" i="10"/>
  <c r="N213" i="10"/>
  <c r="M213" i="10"/>
  <c r="K213" i="10"/>
  <c r="R212" i="10"/>
  <c r="Q212" i="10"/>
  <c r="P212" i="10"/>
  <c r="O212" i="10"/>
  <c r="N212" i="10"/>
  <c r="M212" i="10"/>
  <c r="K212" i="10"/>
  <c r="R211" i="10"/>
  <c r="Q211" i="10"/>
  <c r="P211" i="10"/>
  <c r="O211" i="10"/>
  <c r="N211" i="10"/>
  <c r="M211" i="10"/>
  <c r="K211" i="10"/>
  <c r="R208" i="10"/>
  <c r="Q208" i="10"/>
  <c r="O208" i="10"/>
  <c r="N208" i="10"/>
  <c r="R207" i="10"/>
  <c r="Q207" i="10"/>
  <c r="P207" i="10"/>
  <c r="O207" i="10"/>
  <c r="N207" i="10"/>
  <c r="M207" i="10"/>
  <c r="K207" i="10"/>
  <c r="R206" i="10"/>
  <c r="Q206" i="10"/>
  <c r="P206" i="10"/>
  <c r="O206" i="10"/>
  <c r="N206" i="10"/>
  <c r="M206" i="10"/>
  <c r="K206" i="10"/>
  <c r="R205" i="10"/>
  <c r="Q205" i="10"/>
  <c r="P205" i="10"/>
  <c r="O205" i="10"/>
  <c r="N205" i="10"/>
  <c r="M205" i="10"/>
  <c r="K205" i="10"/>
  <c r="R204" i="10"/>
  <c r="Q204" i="10"/>
  <c r="P204" i="10"/>
  <c r="O204" i="10"/>
  <c r="N204" i="10"/>
  <c r="M204" i="10"/>
  <c r="K204" i="10"/>
  <c r="R203" i="10"/>
  <c r="Q203" i="10"/>
  <c r="P203" i="10"/>
  <c r="O203" i="10"/>
  <c r="N203" i="10"/>
  <c r="M203" i="10"/>
  <c r="K203" i="10"/>
  <c r="R202" i="10"/>
  <c r="Q202" i="10"/>
  <c r="P202" i="10"/>
  <c r="O202" i="10"/>
  <c r="N202" i="10"/>
  <c r="M202" i="10"/>
  <c r="K202" i="10"/>
  <c r="R201" i="10"/>
  <c r="Q201" i="10"/>
  <c r="P201" i="10"/>
  <c r="O201" i="10"/>
  <c r="N201" i="10"/>
  <c r="M201" i="10"/>
  <c r="K201" i="10"/>
  <c r="R200" i="10"/>
  <c r="Q200" i="10"/>
  <c r="P200" i="10"/>
  <c r="O200" i="10"/>
  <c r="N200" i="10"/>
  <c r="M200" i="10"/>
  <c r="K200" i="10"/>
  <c r="R196" i="10"/>
  <c r="Q196" i="10"/>
  <c r="P196" i="10"/>
  <c r="O196" i="10"/>
  <c r="N196" i="10"/>
  <c r="M196" i="10"/>
  <c r="K196" i="10"/>
  <c r="R195" i="10"/>
  <c r="Q195" i="10"/>
  <c r="P195" i="10"/>
  <c r="O195" i="10"/>
  <c r="N195" i="10"/>
  <c r="M195" i="10"/>
  <c r="K195" i="10"/>
  <c r="R194" i="10"/>
  <c r="Q194" i="10"/>
  <c r="P194" i="10"/>
  <c r="O194" i="10"/>
  <c r="N194" i="10"/>
  <c r="M194" i="10"/>
  <c r="K194" i="10"/>
  <c r="R193" i="10"/>
  <c r="Q193" i="10"/>
  <c r="P193" i="10"/>
  <c r="O193" i="10"/>
  <c r="N193" i="10"/>
  <c r="M193" i="10"/>
  <c r="K193" i="10"/>
  <c r="R192" i="10"/>
  <c r="Q192" i="10"/>
  <c r="P192" i="10"/>
  <c r="O192" i="10"/>
  <c r="N192" i="10"/>
  <c r="M192" i="10"/>
  <c r="K192" i="10"/>
  <c r="R191" i="10"/>
  <c r="Q191" i="10"/>
  <c r="P191" i="10"/>
  <c r="O191" i="10"/>
  <c r="N191" i="10"/>
  <c r="M191" i="10"/>
  <c r="K191" i="10"/>
  <c r="R190" i="10"/>
  <c r="Q190" i="10"/>
  <c r="P190" i="10"/>
  <c r="O190" i="10"/>
  <c r="N190" i="10"/>
  <c r="M190" i="10"/>
  <c r="K190" i="10"/>
  <c r="R189" i="10"/>
  <c r="Q189" i="10"/>
  <c r="P189" i="10"/>
  <c r="O189" i="10"/>
  <c r="N189" i="10"/>
  <c r="M189" i="10"/>
  <c r="K189" i="10"/>
  <c r="R188" i="10"/>
  <c r="Q188" i="10"/>
  <c r="P188" i="10"/>
  <c r="O188" i="10"/>
  <c r="N188" i="10"/>
  <c r="M188" i="10"/>
  <c r="K188" i="10"/>
  <c r="R187" i="10"/>
  <c r="Q187" i="10"/>
  <c r="P187" i="10"/>
  <c r="O187" i="10"/>
  <c r="N187" i="10"/>
  <c r="M187" i="10"/>
  <c r="K187" i="10"/>
  <c r="R186" i="10"/>
  <c r="Q186" i="10"/>
  <c r="P186" i="10"/>
  <c r="O186" i="10"/>
  <c r="N186" i="10"/>
  <c r="M186" i="10"/>
  <c r="K186" i="10"/>
  <c r="R185" i="10"/>
  <c r="Q185" i="10"/>
  <c r="P185" i="10"/>
  <c r="O185" i="10"/>
  <c r="N185" i="10"/>
  <c r="M185" i="10"/>
  <c r="K185" i="10"/>
  <c r="R184" i="10"/>
  <c r="Q184" i="10"/>
  <c r="P184" i="10"/>
  <c r="O184" i="10"/>
  <c r="N184" i="10"/>
  <c r="M184" i="10"/>
  <c r="K184" i="10"/>
  <c r="R183" i="10"/>
  <c r="Q183" i="10"/>
  <c r="P183" i="10"/>
  <c r="O183" i="10"/>
  <c r="N183" i="10"/>
  <c r="M183" i="10"/>
  <c r="K183" i="10"/>
  <c r="R182" i="10"/>
  <c r="Q182" i="10"/>
  <c r="P182" i="10"/>
  <c r="O182" i="10"/>
  <c r="N182" i="10"/>
  <c r="M182" i="10"/>
  <c r="K182" i="10"/>
  <c r="R181" i="10"/>
  <c r="Q181" i="10"/>
  <c r="P181" i="10"/>
  <c r="O181" i="10"/>
  <c r="N181" i="10"/>
  <c r="M181" i="10"/>
  <c r="K181" i="10"/>
  <c r="R180" i="10"/>
  <c r="Q180" i="10"/>
  <c r="P180" i="10"/>
  <c r="O180" i="10"/>
  <c r="N180" i="10"/>
  <c r="M180" i="10"/>
  <c r="K180" i="10"/>
  <c r="R179" i="10"/>
  <c r="Q179" i="10"/>
  <c r="P179" i="10"/>
  <c r="O179" i="10"/>
  <c r="N179" i="10"/>
  <c r="M179" i="10"/>
  <c r="K179" i="10"/>
  <c r="R178" i="10"/>
  <c r="Q178" i="10"/>
  <c r="P178" i="10"/>
  <c r="O178" i="10"/>
  <c r="N178" i="10"/>
  <c r="M178" i="10"/>
  <c r="K178" i="10"/>
  <c r="R177" i="10"/>
  <c r="Q177" i="10"/>
  <c r="P177" i="10"/>
  <c r="O177" i="10"/>
  <c r="N177" i="10"/>
  <c r="M177" i="10"/>
  <c r="K177" i="10"/>
  <c r="R176" i="10"/>
  <c r="Q176" i="10"/>
  <c r="P176" i="10"/>
  <c r="O176" i="10"/>
  <c r="N176" i="10"/>
  <c r="M176" i="10"/>
  <c r="K176" i="10"/>
  <c r="R175" i="10"/>
  <c r="Q175" i="10"/>
  <c r="P175" i="10"/>
  <c r="O175" i="10"/>
  <c r="N175" i="10"/>
  <c r="M175" i="10"/>
  <c r="K175" i="10"/>
  <c r="R174" i="10"/>
  <c r="Q174" i="10"/>
  <c r="P174" i="10"/>
  <c r="O174" i="10"/>
  <c r="N174" i="10"/>
  <c r="M174" i="10"/>
  <c r="K174" i="10"/>
  <c r="R173" i="10"/>
  <c r="Q173" i="10"/>
  <c r="P173" i="10"/>
  <c r="O173" i="10"/>
  <c r="N173" i="10"/>
  <c r="M173" i="10"/>
  <c r="K173" i="10"/>
  <c r="R172" i="10"/>
  <c r="Q172" i="10"/>
  <c r="P172" i="10"/>
  <c r="O172" i="10"/>
  <c r="N172" i="10"/>
  <c r="M172" i="10"/>
  <c r="K172" i="10"/>
  <c r="R171" i="10"/>
  <c r="Q171" i="10"/>
  <c r="P171" i="10"/>
  <c r="O171" i="10"/>
  <c r="N171" i="10"/>
  <c r="M171" i="10"/>
  <c r="K171" i="10"/>
  <c r="R170" i="10"/>
  <c r="Q170" i="10"/>
  <c r="P170" i="10"/>
  <c r="O170" i="10"/>
  <c r="N170" i="10"/>
  <c r="M170" i="10"/>
  <c r="K170" i="10"/>
  <c r="R169" i="10"/>
  <c r="Q169" i="10"/>
  <c r="P169" i="10"/>
  <c r="O169" i="10"/>
  <c r="N169" i="10"/>
  <c r="M169" i="10"/>
  <c r="K169" i="10"/>
  <c r="R168" i="10"/>
  <c r="Q168" i="10"/>
  <c r="P168" i="10"/>
  <c r="O168" i="10"/>
  <c r="N168" i="10"/>
  <c r="M168" i="10"/>
  <c r="K168" i="10"/>
  <c r="R167" i="10"/>
  <c r="Q167" i="10"/>
  <c r="P167" i="10"/>
  <c r="O167" i="10"/>
  <c r="N167" i="10"/>
  <c r="M167" i="10"/>
  <c r="K167" i="10"/>
  <c r="R166" i="10"/>
  <c r="Q166" i="10"/>
  <c r="P166" i="10"/>
  <c r="O166" i="10"/>
  <c r="N166" i="10"/>
  <c r="M166" i="10"/>
  <c r="K166" i="10"/>
  <c r="R165" i="10"/>
  <c r="Q165" i="10"/>
  <c r="P165" i="10"/>
  <c r="O165" i="10"/>
  <c r="N165" i="10"/>
  <c r="M165" i="10"/>
  <c r="K165" i="10"/>
  <c r="R164" i="10"/>
  <c r="Q164" i="10"/>
  <c r="P164" i="10"/>
  <c r="O164" i="10"/>
  <c r="N164" i="10"/>
  <c r="M164" i="10"/>
  <c r="K164" i="10"/>
  <c r="R163" i="10"/>
  <c r="Q163" i="10"/>
  <c r="P163" i="10"/>
  <c r="O163" i="10"/>
  <c r="N163" i="10"/>
  <c r="M163" i="10"/>
  <c r="K163" i="10"/>
  <c r="R162" i="10"/>
  <c r="Q162" i="10"/>
  <c r="P162" i="10"/>
  <c r="O162" i="10"/>
  <c r="N162" i="10"/>
  <c r="M162" i="10"/>
  <c r="K162" i="10"/>
  <c r="R161" i="10"/>
  <c r="Q161" i="10"/>
  <c r="O161" i="10"/>
  <c r="N161" i="10"/>
  <c r="M161" i="10"/>
  <c r="K161" i="10"/>
  <c r="R160" i="10"/>
  <c r="Q160" i="10"/>
  <c r="P160" i="10"/>
  <c r="O160" i="10"/>
  <c r="N160" i="10"/>
  <c r="M160" i="10"/>
  <c r="K160" i="10"/>
  <c r="R159" i="10"/>
  <c r="Q159" i="10"/>
  <c r="P159" i="10"/>
  <c r="O159" i="10"/>
  <c r="N159" i="10"/>
  <c r="M159" i="10"/>
  <c r="K159" i="10"/>
  <c r="R158" i="10"/>
  <c r="Q158" i="10"/>
  <c r="P158" i="10"/>
  <c r="O158" i="10"/>
  <c r="N158" i="10"/>
  <c r="M158" i="10"/>
  <c r="K158" i="10"/>
  <c r="R157" i="10"/>
  <c r="Q157" i="10"/>
  <c r="P157" i="10"/>
  <c r="O157" i="10"/>
  <c r="N157" i="10"/>
  <c r="M157" i="10"/>
  <c r="K157" i="10"/>
  <c r="R156" i="10"/>
  <c r="Q156" i="10"/>
  <c r="P156" i="10"/>
  <c r="O156" i="10"/>
  <c r="N156" i="10"/>
  <c r="M156" i="10"/>
  <c r="K156" i="10"/>
  <c r="R155" i="10"/>
  <c r="Q155" i="10"/>
  <c r="P155" i="10"/>
  <c r="O155" i="10"/>
  <c r="N155" i="10"/>
  <c r="M155" i="10"/>
  <c r="K155" i="10"/>
  <c r="R154" i="10"/>
  <c r="Q154" i="10"/>
  <c r="P154" i="10"/>
  <c r="O154" i="10"/>
  <c r="N154" i="10"/>
  <c r="M154" i="10"/>
  <c r="K154" i="10"/>
  <c r="R153" i="10"/>
  <c r="Q153" i="10"/>
  <c r="P153" i="10"/>
  <c r="O153" i="10"/>
  <c r="M153" i="10"/>
  <c r="K153" i="10"/>
  <c r="R152" i="10"/>
  <c r="Q152" i="10"/>
  <c r="P152" i="10"/>
  <c r="O152" i="10"/>
  <c r="N152" i="10"/>
  <c r="M152" i="10"/>
  <c r="K152" i="10"/>
  <c r="R151" i="10"/>
  <c r="Q151" i="10"/>
  <c r="P151" i="10"/>
  <c r="O151" i="10"/>
  <c r="N151" i="10"/>
  <c r="M151" i="10"/>
  <c r="K151" i="10"/>
  <c r="R150" i="10"/>
  <c r="Q150" i="10"/>
  <c r="P150" i="10"/>
  <c r="O150" i="10"/>
  <c r="N150" i="10"/>
  <c r="M150" i="10"/>
  <c r="K150" i="10"/>
  <c r="R149" i="10"/>
  <c r="Q149" i="10"/>
  <c r="P149" i="10"/>
  <c r="O149" i="10"/>
  <c r="N149" i="10"/>
  <c r="M149" i="10"/>
  <c r="K149" i="10"/>
  <c r="R148" i="10"/>
  <c r="Q148" i="10"/>
  <c r="P148" i="10"/>
  <c r="O148" i="10"/>
  <c r="N148" i="10"/>
  <c r="M148" i="10"/>
  <c r="K148" i="10"/>
  <c r="R147" i="10"/>
  <c r="Q147" i="10"/>
  <c r="P147" i="10"/>
  <c r="O147" i="10"/>
  <c r="N147" i="10"/>
  <c r="M147" i="10"/>
  <c r="K147" i="10"/>
  <c r="R146" i="10"/>
  <c r="Q146" i="10"/>
  <c r="P146" i="10"/>
  <c r="O146" i="10"/>
  <c r="N146" i="10"/>
  <c r="M146" i="10"/>
  <c r="K146" i="10"/>
  <c r="R145" i="10"/>
  <c r="Q145" i="10"/>
  <c r="P145" i="10"/>
  <c r="O145" i="10"/>
  <c r="N145" i="10"/>
  <c r="M145" i="10"/>
  <c r="K145" i="10"/>
  <c r="R144" i="10"/>
  <c r="Q144" i="10"/>
  <c r="P144" i="10"/>
  <c r="O144" i="10"/>
  <c r="N144" i="10"/>
  <c r="M144" i="10"/>
  <c r="K144" i="10"/>
  <c r="R143" i="10"/>
  <c r="Q143" i="10"/>
  <c r="P143" i="10"/>
  <c r="O143" i="10"/>
  <c r="N143" i="10"/>
  <c r="M143" i="10"/>
  <c r="K143" i="10"/>
  <c r="R142" i="10"/>
  <c r="Q142" i="10"/>
  <c r="P142" i="10"/>
  <c r="O142" i="10"/>
  <c r="N142" i="10"/>
  <c r="M142" i="10"/>
  <c r="K142" i="10"/>
  <c r="R141" i="10"/>
  <c r="Q141" i="10"/>
  <c r="P141" i="10"/>
  <c r="O141" i="10"/>
  <c r="N141" i="10"/>
  <c r="M141" i="10"/>
  <c r="K141" i="10"/>
  <c r="R140" i="10"/>
  <c r="Q140" i="10"/>
  <c r="M140" i="10"/>
  <c r="K140" i="10"/>
  <c r="R139" i="10"/>
  <c r="Q139" i="10"/>
  <c r="P139" i="10"/>
  <c r="O139" i="10"/>
  <c r="N139" i="10"/>
  <c r="M139" i="10"/>
  <c r="K139" i="10"/>
  <c r="R138" i="10"/>
  <c r="Q138" i="10"/>
  <c r="P138" i="10"/>
  <c r="O138" i="10"/>
  <c r="N138" i="10"/>
  <c r="M138" i="10"/>
  <c r="K138" i="10"/>
  <c r="R135" i="10"/>
  <c r="Q135" i="10"/>
  <c r="N135" i="10"/>
  <c r="M135" i="10"/>
  <c r="K135" i="10"/>
  <c r="R134" i="10"/>
  <c r="Q134" i="10"/>
  <c r="P134" i="10"/>
  <c r="O134" i="10"/>
  <c r="N134" i="10"/>
  <c r="M134" i="10"/>
  <c r="K134" i="10"/>
  <c r="R133" i="10"/>
  <c r="Q133" i="10"/>
  <c r="P133" i="10"/>
  <c r="O133" i="10"/>
  <c r="N133" i="10"/>
  <c r="M133" i="10"/>
  <c r="K133" i="10"/>
  <c r="R132" i="10"/>
  <c r="Q132" i="10"/>
  <c r="P132" i="10"/>
  <c r="O132" i="10"/>
  <c r="N132" i="10"/>
  <c r="M132" i="10"/>
  <c r="K132" i="10"/>
  <c r="R131" i="10"/>
  <c r="Q131" i="10"/>
  <c r="P131" i="10"/>
  <c r="O131" i="10"/>
  <c r="N131" i="10"/>
  <c r="M131" i="10"/>
  <c r="K131" i="10"/>
  <c r="R130" i="10"/>
  <c r="Q130" i="10"/>
  <c r="P130" i="10"/>
  <c r="O130" i="10"/>
  <c r="N130" i="10"/>
  <c r="M130" i="10"/>
  <c r="K130" i="10"/>
  <c r="R129" i="10"/>
  <c r="Q129" i="10"/>
  <c r="P129" i="10"/>
  <c r="O129" i="10"/>
  <c r="N129" i="10"/>
  <c r="M129" i="10"/>
  <c r="K129" i="10"/>
  <c r="Q121" i="10"/>
  <c r="R120" i="10"/>
  <c r="Q120" i="10"/>
  <c r="P120" i="10"/>
  <c r="O120" i="10"/>
  <c r="N120" i="10"/>
  <c r="M120" i="10"/>
  <c r="K120" i="10"/>
  <c r="R119" i="10"/>
  <c r="Q119" i="10"/>
  <c r="P119" i="10"/>
  <c r="O119" i="10"/>
  <c r="N119" i="10"/>
  <c r="M119" i="10"/>
  <c r="K119" i="10"/>
  <c r="R118" i="10"/>
  <c r="Q118" i="10"/>
  <c r="P118" i="10"/>
  <c r="O118" i="10"/>
  <c r="N118" i="10"/>
  <c r="M118" i="10"/>
  <c r="K118" i="10"/>
  <c r="R117" i="10"/>
  <c r="Q117" i="10"/>
  <c r="P117" i="10"/>
  <c r="O117" i="10"/>
  <c r="N117" i="10"/>
  <c r="M117" i="10"/>
  <c r="K117" i="10"/>
  <c r="R116" i="10"/>
  <c r="Q116" i="10"/>
  <c r="P116" i="10"/>
  <c r="O116" i="10"/>
  <c r="N116" i="10"/>
  <c r="M116" i="10"/>
  <c r="K116" i="10"/>
  <c r="R115" i="10"/>
  <c r="Q115" i="10"/>
  <c r="P115" i="10"/>
  <c r="O115" i="10"/>
  <c r="N115" i="10"/>
  <c r="M115" i="10"/>
  <c r="K115" i="10"/>
  <c r="R114" i="10"/>
  <c r="Q114" i="10"/>
  <c r="P114" i="10"/>
  <c r="O114" i="10"/>
  <c r="N114" i="10"/>
  <c r="K114" i="10"/>
  <c r="R111" i="10"/>
  <c r="Q111" i="10"/>
  <c r="P111" i="10"/>
  <c r="K111" i="10"/>
  <c r="R110" i="10"/>
  <c r="Q110" i="10"/>
  <c r="P110" i="10"/>
  <c r="O110" i="10"/>
  <c r="N110" i="10"/>
  <c r="M110" i="10"/>
  <c r="K110" i="10"/>
  <c r="R109" i="10"/>
  <c r="Q109" i="10"/>
  <c r="P109" i="10"/>
  <c r="O109" i="10"/>
  <c r="N109" i="10"/>
  <c r="M109" i="10"/>
  <c r="K109" i="10"/>
  <c r="R106" i="10"/>
  <c r="P106" i="10"/>
  <c r="N106" i="10"/>
  <c r="R105" i="10"/>
  <c r="Q105" i="10"/>
  <c r="N105" i="10"/>
  <c r="M105" i="10"/>
  <c r="K105" i="10"/>
  <c r="R104" i="10"/>
  <c r="Q104" i="10"/>
  <c r="P104" i="10"/>
  <c r="O104" i="10"/>
  <c r="N104" i="10"/>
  <c r="M104" i="10"/>
  <c r="K104" i="10"/>
  <c r="R103" i="10"/>
  <c r="Q103" i="10"/>
  <c r="P103" i="10"/>
  <c r="O103" i="10"/>
  <c r="N103" i="10"/>
  <c r="M103" i="10"/>
  <c r="K103" i="10"/>
  <c r="R102" i="10"/>
  <c r="Q102" i="10"/>
  <c r="P102" i="10"/>
  <c r="O102" i="10"/>
  <c r="N102" i="10"/>
  <c r="M102" i="10"/>
  <c r="K102" i="10"/>
  <c r="R101" i="10"/>
  <c r="Q101" i="10"/>
  <c r="P101" i="10"/>
  <c r="O101" i="10"/>
  <c r="N101" i="10"/>
  <c r="M101" i="10"/>
  <c r="K101" i="10"/>
  <c r="R100" i="10"/>
  <c r="Q100" i="10"/>
  <c r="P100" i="10"/>
  <c r="O100" i="10"/>
  <c r="N100" i="10"/>
  <c r="M100" i="10"/>
  <c r="K100" i="10"/>
  <c r="R99" i="10"/>
  <c r="Q99" i="10"/>
  <c r="P99" i="10"/>
  <c r="O99" i="10"/>
  <c r="N99" i="10"/>
  <c r="M99" i="10"/>
  <c r="K99" i="10"/>
  <c r="R98" i="10"/>
  <c r="Q98" i="10"/>
  <c r="P98" i="10"/>
  <c r="O98" i="10"/>
  <c r="N98" i="10"/>
  <c r="M98" i="10"/>
  <c r="K98" i="10"/>
  <c r="R97" i="10"/>
  <c r="Q97" i="10"/>
  <c r="P97" i="10"/>
  <c r="O97" i="10"/>
  <c r="N97" i="10"/>
  <c r="M97" i="10"/>
  <c r="K97" i="10"/>
  <c r="R96" i="10"/>
  <c r="Q96" i="10"/>
  <c r="P96" i="10"/>
  <c r="O96" i="10"/>
  <c r="N96" i="10"/>
  <c r="M96" i="10"/>
  <c r="K96" i="10"/>
  <c r="R95" i="10"/>
  <c r="Q95" i="10"/>
  <c r="P95" i="10"/>
  <c r="O95" i="10"/>
  <c r="N95" i="10"/>
  <c r="M95" i="10"/>
  <c r="K95" i="10"/>
  <c r="R94" i="10"/>
  <c r="Q94" i="10"/>
  <c r="P94" i="10"/>
  <c r="O94" i="10"/>
  <c r="N94" i="10"/>
  <c r="M94" i="10"/>
  <c r="K94" i="10"/>
  <c r="R93" i="10"/>
  <c r="Q93" i="10"/>
  <c r="P93" i="10"/>
  <c r="O93" i="10"/>
  <c r="N93" i="10"/>
  <c r="M93" i="10"/>
  <c r="K93" i="10"/>
  <c r="R92" i="10"/>
  <c r="Q92" i="10"/>
  <c r="P92" i="10"/>
  <c r="O92" i="10"/>
  <c r="N92" i="10"/>
  <c r="M92" i="10"/>
  <c r="K92" i="10"/>
  <c r="R91" i="10"/>
  <c r="Q91" i="10"/>
  <c r="P91" i="10"/>
  <c r="O91" i="10"/>
  <c r="N91" i="10"/>
  <c r="M91" i="10"/>
  <c r="K91" i="10"/>
  <c r="R90" i="10"/>
  <c r="Q90" i="10"/>
  <c r="P90" i="10"/>
  <c r="O90" i="10"/>
  <c r="N90" i="10"/>
  <c r="M90" i="10"/>
  <c r="K90" i="10"/>
  <c r="R89" i="10"/>
  <c r="P89" i="10"/>
  <c r="O89" i="10"/>
  <c r="N89" i="10"/>
  <c r="M89" i="10"/>
  <c r="K89" i="10"/>
  <c r="R88" i="10"/>
  <c r="Q88" i="10"/>
  <c r="P88" i="10"/>
  <c r="O88" i="10"/>
  <c r="N88" i="10"/>
  <c r="M88" i="10"/>
  <c r="K88" i="10"/>
  <c r="R87" i="10"/>
  <c r="Q87" i="10"/>
  <c r="P87" i="10"/>
  <c r="O87" i="10"/>
  <c r="N87" i="10"/>
  <c r="M87" i="10"/>
  <c r="K87" i="10"/>
  <c r="R86" i="10"/>
  <c r="Q86" i="10"/>
  <c r="P86" i="10"/>
  <c r="O86" i="10"/>
  <c r="N86" i="10"/>
  <c r="M86" i="10"/>
  <c r="K86" i="10"/>
  <c r="R85" i="10"/>
  <c r="Q85" i="10"/>
  <c r="P85" i="10"/>
  <c r="O85" i="10"/>
  <c r="N85" i="10"/>
  <c r="M85" i="10"/>
  <c r="K85" i="10"/>
  <c r="R84" i="10"/>
  <c r="Q84" i="10"/>
  <c r="P84" i="10"/>
  <c r="O84" i="10"/>
  <c r="N84" i="10"/>
  <c r="M84" i="10"/>
  <c r="K84" i="10"/>
  <c r="Q81" i="10"/>
  <c r="P81" i="10"/>
  <c r="O81" i="10"/>
  <c r="N81" i="10"/>
  <c r="M81" i="10"/>
  <c r="K81" i="10"/>
  <c r="R80" i="10"/>
  <c r="Q80" i="10"/>
  <c r="P80" i="10"/>
  <c r="O80" i="10"/>
  <c r="N80" i="10"/>
  <c r="M80" i="10"/>
  <c r="K80" i="10"/>
  <c r="R79" i="10"/>
  <c r="Q79" i="10"/>
  <c r="P79" i="10"/>
  <c r="O79" i="10"/>
  <c r="N79" i="10"/>
  <c r="M79" i="10"/>
  <c r="K79" i="10"/>
  <c r="Q76" i="10"/>
  <c r="P76" i="10"/>
  <c r="O76" i="10"/>
  <c r="N76" i="10"/>
  <c r="R75" i="10"/>
  <c r="Q75" i="10"/>
  <c r="P75" i="10"/>
  <c r="O75" i="10"/>
  <c r="N75" i="10"/>
  <c r="M75" i="10"/>
  <c r="K75" i="10"/>
  <c r="R74" i="10"/>
  <c r="Q74" i="10"/>
  <c r="P74" i="10"/>
  <c r="O74" i="10"/>
  <c r="N74" i="10"/>
  <c r="M74" i="10"/>
  <c r="K74" i="10"/>
  <c r="R73" i="10"/>
  <c r="Q73" i="10"/>
  <c r="P73" i="10"/>
  <c r="O73" i="10"/>
  <c r="N73" i="10"/>
  <c r="M73" i="10"/>
  <c r="K73" i="10"/>
  <c r="R72" i="10"/>
  <c r="Q72" i="10"/>
  <c r="P72" i="10"/>
  <c r="O72" i="10"/>
  <c r="N72" i="10"/>
  <c r="M72" i="10"/>
  <c r="K72" i="10"/>
  <c r="R69" i="10"/>
  <c r="Q69" i="10"/>
  <c r="P69" i="10"/>
  <c r="O69" i="10"/>
  <c r="N69" i="10"/>
  <c r="M69" i="10"/>
  <c r="K69" i="10"/>
  <c r="R68" i="10"/>
  <c r="Q68" i="10"/>
  <c r="P68" i="10"/>
  <c r="O68" i="10"/>
  <c r="N68" i="10"/>
  <c r="M68" i="10"/>
  <c r="K68" i="10"/>
  <c r="R62" i="10"/>
  <c r="K62" i="10"/>
  <c r="R61" i="10"/>
  <c r="Q61" i="10"/>
  <c r="P61" i="10"/>
  <c r="O61" i="10"/>
  <c r="N61" i="10"/>
  <c r="M61" i="10"/>
  <c r="K61" i="10"/>
  <c r="R58" i="10"/>
  <c r="Q58" i="10"/>
  <c r="O58" i="10"/>
  <c r="K58" i="10"/>
  <c r="R57" i="10"/>
  <c r="Q57" i="10"/>
  <c r="P57" i="10"/>
  <c r="O57" i="10"/>
  <c r="K57" i="10"/>
  <c r="R56" i="10"/>
  <c r="Q56" i="10"/>
  <c r="O56" i="10"/>
  <c r="N56" i="10"/>
  <c r="M56" i="10"/>
  <c r="K56" i="10"/>
  <c r="R55" i="10"/>
  <c r="Q55" i="10"/>
  <c r="P55" i="10"/>
  <c r="O55" i="10"/>
  <c r="N55" i="10"/>
  <c r="M55" i="10"/>
  <c r="K55" i="10"/>
  <c r="R54" i="10"/>
  <c r="Q54" i="10"/>
  <c r="P54" i="10"/>
  <c r="O54" i="10"/>
  <c r="N54" i="10"/>
  <c r="M54" i="10"/>
  <c r="K54" i="10"/>
  <c r="R53" i="10"/>
  <c r="Q53" i="10"/>
  <c r="P53" i="10"/>
  <c r="O53" i="10"/>
  <c r="N53" i="10"/>
  <c r="M53" i="10"/>
  <c r="K53" i="10"/>
  <c r="R52" i="10"/>
  <c r="Q52" i="10"/>
  <c r="P52" i="10"/>
  <c r="O52" i="10"/>
  <c r="N52" i="10"/>
  <c r="M52" i="10"/>
  <c r="K52" i="10"/>
  <c r="R51" i="10"/>
  <c r="Q51" i="10"/>
  <c r="P51" i="10"/>
  <c r="O51" i="10"/>
  <c r="N51" i="10"/>
  <c r="M51" i="10"/>
  <c r="K51" i="10"/>
  <c r="R50" i="10"/>
  <c r="Q50" i="10"/>
  <c r="P50" i="10"/>
  <c r="O50" i="10"/>
  <c r="N50" i="10"/>
  <c r="M50" i="10"/>
  <c r="K50" i="10"/>
  <c r="R49" i="10"/>
  <c r="Q49" i="10"/>
  <c r="P49" i="10"/>
  <c r="O49" i="10"/>
  <c r="N49" i="10"/>
  <c r="M49" i="10"/>
  <c r="K49" i="10"/>
  <c r="R48" i="10"/>
  <c r="Q48" i="10"/>
  <c r="P48" i="10"/>
  <c r="O48" i="10"/>
  <c r="N48" i="10"/>
  <c r="M48" i="10"/>
  <c r="K48" i="10"/>
  <c r="R43" i="10"/>
  <c r="Q43" i="10"/>
  <c r="P43" i="10"/>
  <c r="O43" i="10"/>
  <c r="N43" i="10"/>
  <c r="M43" i="10"/>
  <c r="K43" i="10"/>
  <c r="R42" i="10"/>
  <c r="Q42" i="10"/>
  <c r="P42" i="10"/>
  <c r="O42" i="10"/>
  <c r="N42" i="10"/>
  <c r="M42" i="10"/>
  <c r="K42" i="10"/>
  <c r="R41" i="10"/>
  <c r="Q41" i="10"/>
  <c r="P41" i="10"/>
  <c r="O41" i="10"/>
  <c r="N41" i="10"/>
  <c r="M41" i="10"/>
  <c r="K41" i="10"/>
  <c r="R40" i="10"/>
  <c r="Q40" i="10"/>
  <c r="P40" i="10"/>
  <c r="O40" i="10"/>
  <c r="N40" i="10"/>
  <c r="M40" i="10"/>
  <c r="K40" i="10"/>
  <c r="R39" i="10"/>
  <c r="Q39" i="10"/>
  <c r="P39" i="10"/>
  <c r="N39" i="10"/>
  <c r="M39" i="10"/>
  <c r="K39" i="10"/>
  <c r="P32" i="10"/>
  <c r="K32" i="10"/>
  <c r="R28" i="10"/>
  <c r="P28" i="10"/>
  <c r="O28" i="10"/>
  <c r="K28" i="10"/>
  <c r="R27" i="10"/>
  <c r="O27" i="10"/>
  <c r="R26" i="10"/>
  <c r="R25" i="10"/>
  <c r="O25" i="10"/>
  <c r="N25" i="10"/>
  <c r="R23" i="10"/>
  <c r="N23" i="10"/>
  <c r="K23" i="10"/>
  <c r="R18" i="10"/>
  <c r="Q18" i="10"/>
  <c r="P18" i="10"/>
  <c r="O18" i="10"/>
  <c r="N18" i="10"/>
  <c r="M18" i="10"/>
  <c r="K18" i="10"/>
  <c r="Q17" i="10"/>
  <c r="O17" i="10"/>
  <c r="R16" i="10"/>
  <c r="Q16" i="10"/>
  <c r="P16" i="10"/>
  <c r="O16" i="10"/>
  <c r="N16" i="10"/>
  <c r="M16" i="10"/>
  <c r="K16" i="10"/>
  <c r="R12" i="10"/>
  <c r="N10" i="10"/>
  <c r="H67" i="10"/>
  <c r="M10" i="10"/>
  <c r="G6" i="11" l="1"/>
  <c r="I6" i="11" s="1"/>
  <c r="H46" i="5"/>
  <c r="P45" i="10" s="1"/>
  <c r="R197" i="10"/>
  <c r="Q242" i="10"/>
  <c r="H242" i="10" s="1"/>
  <c r="L208" i="10"/>
  <c r="L62" i="10"/>
  <c r="L58" i="10"/>
  <c r="G13" i="11"/>
  <c r="I13" i="11" s="1"/>
  <c r="K76" i="10"/>
  <c r="N140" i="10"/>
  <c r="H198" i="6"/>
  <c r="P140" i="10"/>
  <c r="L197" i="10"/>
  <c r="H46" i="9"/>
  <c r="H65" i="9" s="1"/>
  <c r="L64" i="10" s="1"/>
  <c r="H123" i="9"/>
  <c r="H11" i="3"/>
  <c r="H14" i="3" s="1"/>
  <c r="H65" i="3"/>
  <c r="K64" i="10" s="1"/>
  <c r="K45" i="10"/>
  <c r="K121" i="10"/>
  <c r="H123" i="3"/>
  <c r="H25" i="3"/>
  <c r="K24" i="10" s="1"/>
  <c r="K197" i="10"/>
  <c r="H26" i="3"/>
  <c r="K25" i="10" s="1"/>
  <c r="H46" i="6"/>
  <c r="H11" i="6" s="1"/>
  <c r="R121" i="10"/>
  <c r="H123" i="2"/>
  <c r="R45" i="10"/>
  <c r="R218" i="10"/>
  <c r="H18" i="2"/>
  <c r="R17" i="10" s="1"/>
  <c r="H65" i="2"/>
  <c r="R64" i="10" s="1"/>
  <c r="H53" i="10"/>
  <c r="H11" i="4"/>
  <c r="Q45" i="10"/>
  <c r="H65" i="4"/>
  <c r="Q64" i="10" s="1"/>
  <c r="H13" i="4"/>
  <c r="Q12" i="10" s="1"/>
  <c r="Q62" i="10"/>
  <c r="H25" i="4"/>
  <c r="Q24" i="10" s="1"/>
  <c r="Q197" i="10"/>
  <c r="H28" i="4"/>
  <c r="Q27" i="10" s="1"/>
  <c r="H107" i="4"/>
  <c r="Q106" i="10" s="1"/>
  <c r="H106" i="10" s="1"/>
  <c r="Q226" i="10"/>
  <c r="H226" i="10" s="1"/>
  <c r="H27" i="4"/>
  <c r="Q26" i="10" s="1"/>
  <c r="H13" i="5"/>
  <c r="P12" i="10" s="1"/>
  <c r="P62" i="10"/>
  <c r="H125" i="5"/>
  <c r="H21" i="5"/>
  <c r="P122" i="10"/>
  <c r="P197" i="10"/>
  <c r="H25" i="5"/>
  <c r="P24" i="10" s="1"/>
  <c r="P135" i="10"/>
  <c r="P121" i="10"/>
  <c r="P218" i="10"/>
  <c r="P58" i="10"/>
  <c r="H26" i="5"/>
  <c r="P25" i="10" s="1"/>
  <c r="H21" i="8"/>
  <c r="H22" i="8" s="1"/>
  <c r="H125" i="8"/>
  <c r="H25" i="8"/>
  <c r="M24" i="10" s="1"/>
  <c r="H14" i="8"/>
  <c r="M208" i="10"/>
  <c r="H208" i="10" s="1"/>
  <c r="H65" i="8"/>
  <c r="M64" i="10" s="1"/>
  <c r="N197" i="10"/>
  <c r="H25" i="7"/>
  <c r="N24" i="10" s="1"/>
  <c r="H21" i="7"/>
  <c r="H125" i="7"/>
  <c r="N122" i="10"/>
  <c r="H28" i="7"/>
  <c r="N27" i="10" s="1"/>
  <c r="H59" i="7"/>
  <c r="H65" i="7" s="1"/>
  <c r="N64" i="10" s="1"/>
  <c r="H50" i="10"/>
  <c r="H55" i="10"/>
  <c r="H56" i="10"/>
  <c r="N121" i="10"/>
  <c r="H54" i="10"/>
  <c r="N62" i="10"/>
  <c r="H49" i="10"/>
  <c r="O121" i="10"/>
  <c r="H123" i="6"/>
  <c r="H205" i="10"/>
  <c r="H13" i="6"/>
  <c r="O12" i="10" s="1"/>
  <c r="H27" i="6"/>
  <c r="O26" i="10" s="1"/>
  <c r="H144" i="10"/>
  <c r="O218" i="10"/>
  <c r="O135" i="10"/>
  <c r="M197" i="10"/>
  <c r="M11" i="10"/>
  <c r="M58" i="10"/>
  <c r="H74" i="10"/>
  <c r="H79" i="10"/>
  <c r="H84" i="10"/>
  <c r="H85" i="10"/>
  <c r="H87" i="10"/>
  <c r="H91" i="10"/>
  <c r="H95" i="10"/>
  <c r="H98" i="10"/>
  <c r="H99" i="10"/>
  <c r="H110" i="10"/>
  <c r="H115" i="10"/>
  <c r="H116" i="10"/>
  <c r="H118" i="10"/>
  <c r="H129" i="10"/>
  <c r="H134" i="10"/>
  <c r="H138" i="10"/>
  <c r="H142" i="10"/>
  <c r="H143" i="10"/>
  <c r="H146" i="10"/>
  <c r="H148" i="10"/>
  <c r="H149" i="10"/>
  <c r="H151" i="10"/>
  <c r="H152" i="10"/>
  <c r="H153" i="10"/>
  <c r="H154" i="10"/>
  <c r="H158" i="10"/>
  <c r="H160" i="10"/>
  <c r="H164" i="10"/>
  <c r="H166" i="10"/>
  <c r="H170" i="10"/>
  <c r="H172" i="10"/>
  <c r="H173" i="10"/>
  <c r="H174" i="10"/>
  <c r="H175" i="10"/>
  <c r="H178" i="10"/>
  <c r="H179" i="10"/>
  <c r="H181" i="10"/>
  <c r="H182" i="10"/>
  <c r="H184" i="10"/>
  <c r="H188" i="10"/>
  <c r="H190" i="10"/>
  <c r="H194" i="10"/>
  <c r="H196" i="10"/>
  <c r="H203" i="10"/>
  <c r="H211" i="10"/>
  <c r="H214" i="10"/>
  <c r="H215" i="10"/>
  <c r="H217" i="10"/>
  <c r="H222" i="10"/>
  <c r="H233" i="10"/>
  <c r="H80" i="10"/>
  <c r="H86" i="10"/>
  <c r="H89" i="10"/>
  <c r="H97" i="10"/>
  <c r="H101" i="10"/>
  <c r="H104" i="10"/>
  <c r="H32" i="10"/>
  <c r="H42" i="10"/>
  <c r="H240" i="10"/>
  <c r="M218" i="10"/>
  <c r="M76" i="10"/>
  <c r="E10" i="11"/>
  <c r="B7" i="11"/>
  <c r="E7" i="11"/>
  <c r="B10" i="11"/>
  <c r="C10" i="11"/>
  <c r="D17" i="11"/>
  <c r="D7" i="11"/>
  <c r="D10" i="11" s="1"/>
  <c r="E17" i="11"/>
  <c r="H27" i="9"/>
  <c r="L26" i="10" s="1"/>
  <c r="H81" i="10"/>
  <c r="H93" i="10"/>
  <c r="H162" i="10"/>
  <c r="H192" i="10"/>
  <c r="H225" i="10"/>
  <c r="H75" i="10"/>
  <c r="H90" i="10"/>
  <c r="H114" i="10"/>
  <c r="H168" i="10"/>
  <c r="H186" i="10"/>
  <c r="H195" i="10"/>
  <c r="H204" i="10"/>
  <c r="H213" i="10"/>
  <c r="H231" i="10"/>
  <c r="H238" i="10"/>
  <c r="H68" i="10"/>
  <c r="H92" i="10"/>
  <c r="H119" i="10"/>
  <c r="H131" i="10"/>
  <c r="H155" i="10"/>
  <c r="H161" i="10"/>
  <c r="H167" i="10"/>
  <c r="H176" i="10"/>
  <c r="H185" i="10"/>
  <c r="H191" i="10"/>
  <c r="H200" i="10"/>
  <c r="H206" i="10"/>
  <c r="H212" i="10"/>
  <c r="H221" i="10"/>
  <c r="H72" i="10"/>
  <c r="H102" i="10"/>
  <c r="H111" i="10"/>
  <c r="H120" i="10"/>
  <c r="H132" i="10"/>
  <c r="H150" i="10"/>
  <c r="H207" i="10"/>
  <c r="H16" i="10"/>
  <c r="H23" i="10"/>
  <c r="H40" i="10"/>
  <c r="H43" i="10"/>
  <c r="H239" i="10"/>
  <c r="H57" i="10"/>
  <c r="H105" i="10"/>
  <c r="H117" i="10"/>
  <c r="H135" i="10"/>
  <c r="H147" i="10"/>
  <c r="H159" i="10"/>
  <c r="H177" i="10"/>
  <c r="H189" i="10"/>
  <c r="H216" i="10"/>
  <c r="H234" i="10"/>
  <c r="H17" i="10"/>
  <c r="H52" i="10"/>
  <c r="H61" i="10"/>
  <c r="H73" i="10"/>
  <c r="H88" i="10"/>
  <c r="H94" i="10"/>
  <c r="H100" i="10"/>
  <c r="H103" i="10"/>
  <c r="H109" i="10"/>
  <c r="H130" i="10"/>
  <c r="H133" i="10"/>
  <c r="H139" i="10"/>
  <c r="H145" i="10"/>
  <c r="H157" i="10"/>
  <c r="H163" i="10"/>
  <c r="H169" i="10"/>
  <c r="H187" i="10"/>
  <c r="H193" i="10"/>
  <c r="H202" i="10"/>
  <c r="H232" i="10"/>
  <c r="H69" i="10"/>
  <c r="H141" i="10"/>
  <c r="H165" i="10"/>
  <c r="H183" i="10"/>
  <c r="H241" i="10"/>
  <c r="H51" i="10"/>
  <c r="H96" i="10"/>
  <c r="H156" i="10"/>
  <c r="H171" i="10"/>
  <c r="H180" i="10"/>
  <c r="H201" i="10"/>
  <c r="H39" i="10"/>
  <c r="H41" i="10"/>
  <c r="K10" i="10"/>
  <c r="H25" i="10" l="1"/>
  <c r="H62" i="10"/>
  <c r="H76" i="10"/>
  <c r="H65" i="5"/>
  <c r="P64" i="10" s="1"/>
  <c r="H11" i="5"/>
  <c r="H14" i="5" s="1"/>
  <c r="H218" i="10"/>
  <c r="H125" i="9"/>
  <c r="L124" i="10" s="1"/>
  <c r="L122" i="10"/>
  <c r="H140" i="10"/>
  <c r="O197" i="10"/>
  <c r="H197" i="10" s="1"/>
  <c r="H25" i="6"/>
  <c r="O24" i="10" s="1"/>
  <c r="H24" i="10" s="1"/>
  <c r="H11" i="9"/>
  <c r="L45" i="10"/>
  <c r="H21" i="9"/>
  <c r="K122" i="10"/>
  <c r="H125" i="3"/>
  <c r="H21" i="3"/>
  <c r="H65" i="6"/>
  <c r="O64" i="10" s="1"/>
  <c r="O45" i="10"/>
  <c r="H14" i="2"/>
  <c r="R10" i="10"/>
  <c r="H125" i="2"/>
  <c r="H21" i="2"/>
  <c r="R122" i="10"/>
  <c r="Q10" i="10"/>
  <c r="H14" i="4"/>
  <c r="H26" i="10"/>
  <c r="H123" i="4"/>
  <c r="P20" i="10"/>
  <c r="H22" i="5"/>
  <c r="P21" i="10" s="1"/>
  <c r="P124" i="10"/>
  <c r="H12" i="10"/>
  <c r="H31" i="8"/>
  <c r="H35" i="8" s="1"/>
  <c r="H127" i="8"/>
  <c r="H229" i="8" s="1"/>
  <c r="H237" i="8" s="1"/>
  <c r="H245" i="8" s="1"/>
  <c r="N124" i="10"/>
  <c r="H127" i="7"/>
  <c r="N20" i="10"/>
  <c r="H22" i="7"/>
  <c r="N21" i="10" s="1"/>
  <c r="H12" i="7"/>
  <c r="N58" i="10"/>
  <c r="H58" i="10" s="1"/>
  <c r="H14" i="6"/>
  <c r="O10" i="10"/>
  <c r="H125" i="6"/>
  <c r="O122" i="10"/>
  <c r="H21" i="6"/>
  <c r="M121" i="10"/>
  <c r="H121" i="10" s="1"/>
  <c r="M13" i="10"/>
  <c r="G10" i="11"/>
  <c r="G9" i="11"/>
  <c r="H15" i="11" s="1"/>
  <c r="K13" i="10"/>
  <c r="H127" i="5" l="1"/>
  <c r="H45" i="10"/>
  <c r="P10" i="10"/>
  <c r="H64" i="10"/>
  <c r="H127" i="9"/>
  <c r="L126" i="10" s="1"/>
  <c r="H22" i="9"/>
  <c r="L21" i="10" s="1"/>
  <c r="L20" i="10"/>
  <c r="L10" i="10"/>
  <c r="H14" i="9"/>
  <c r="L13" i="10" s="1"/>
  <c r="K20" i="10"/>
  <c r="H22" i="3"/>
  <c r="H127" i="3"/>
  <c r="K124" i="10"/>
  <c r="R13" i="10"/>
  <c r="H22" i="2"/>
  <c r="R21" i="10" s="1"/>
  <c r="R20" i="10"/>
  <c r="R124" i="10"/>
  <c r="H127" i="2"/>
  <c r="H125" i="4"/>
  <c r="H21" i="4"/>
  <c r="Q122" i="10"/>
  <c r="Q13" i="10"/>
  <c r="P13" i="10"/>
  <c r="H31" i="5"/>
  <c r="P126" i="10"/>
  <c r="H229" i="5"/>
  <c r="N126" i="10"/>
  <c r="H229" i="7"/>
  <c r="N11" i="10"/>
  <c r="H11" i="10" s="1"/>
  <c r="H14" i="7"/>
  <c r="O13" i="10"/>
  <c r="O20" i="10"/>
  <c r="H22" i="6"/>
  <c r="O21" i="10" s="1"/>
  <c r="H127" i="6"/>
  <c r="O124" i="10"/>
  <c r="M122" i="10"/>
  <c r="H122" i="10" l="1"/>
  <c r="H10" i="10"/>
  <c r="H229" i="9"/>
  <c r="H237" i="9" s="1"/>
  <c r="H31" i="9"/>
  <c r="K126" i="10"/>
  <c r="H229" i="3"/>
  <c r="K21" i="10"/>
  <c r="H31" i="3"/>
  <c r="R126" i="10"/>
  <c r="H229" i="2"/>
  <c r="H31" i="2"/>
  <c r="H127" i="4"/>
  <c r="Q124" i="10"/>
  <c r="H22" i="4"/>
  <c r="Q20" i="10"/>
  <c r="P228" i="10"/>
  <c r="H237" i="5"/>
  <c r="P30" i="10"/>
  <c r="H35" i="5"/>
  <c r="P34" i="10" s="1"/>
  <c r="H237" i="7"/>
  <c r="N228" i="10"/>
  <c r="N13" i="10"/>
  <c r="H13" i="10" s="1"/>
  <c r="H31" i="7"/>
  <c r="O126" i="10"/>
  <c r="H229" i="6"/>
  <c r="H31" i="6"/>
  <c r="M20" i="10"/>
  <c r="M124" i="10"/>
  <c r="H124" i="10" l="1"/>
  <c r="L228" i="10"/>
  <c r="H245" i="9"/>
  <c r="L244" i="10" s="1"/>
  <c r="L236" i="10"/>
  <c r="H35" i="9"/>
  <c r="L34" i="10" s="1"/>
  <c r="L30" i="10"/>
  <c r="H35" i="3"/>
  <c r="K34" i="10" s="1"/>
  <c r="K30" i="10"/>
  <c r="H245" i="3"/>
  <c r="K244" i="10" s="1"/>
  <c r="K228" i="10"/>
  <c r="R30" i="10"/>
  <c r="H35" i="2"/>
  <c r="R34" i="10" s="1"/>
  <c r="H237" i="2"/>
  <c r="R228" i="10"/>
  <c r="Q21" i="10"/>
  <c r="H31" i="4"/>
  <c r="H20" i="10"/>
  <c r="Q126" i="10"/>
  <c r="H229" i="4"/>
  <c r="H245" i="5"/>
  <c r="P244" i="10" s="1"/>
  <c r="P36" i="10" s="1"/>
  <c r="P236" i="10"/>
  <c r="N236" i="10"/>
  <c r="H245" i="7"/>
  <c r="N244" i="10" s="1"/>
  <c r="H35" i="7"/>
  <c r="N34" i="10" s="1"/>
  <c r="N30" i="10"/>
  <c r="H35" i="6"/>
  <c r="O34" i="10" s="1"/>
  <c r="O30" i="10"/>
  <c r="H237" i="6"/>
  <c r="O228" i="10"/>
  <c r="M126" i="10"/>
  <c r="M21" i="10"/>
  <c r="K36" i="10" l="1"/>
  <c r="N36" i="10"/>
  <c r="L36" i="10"/>
  <c r="H126" i="10"/>
  <c r="H245" i="2"/>
  <c r="R244" i="10" s="1"/>
  <c r="R36" i="10" s="1"/>
  <c r="R236" i="10"/>
  <c r="H21" i="10"/>
  <c r="Q228" i="10"/>
  <c r="H237" i="4"/>
  <c r="H35" i="4"/>
  <c r="Q34" i="10" s="1"/>
  <c r="Q30" i="10"/>
  <c r="H245" i="6"/>
  <c r="O244" i="10" s="1"/>
  <c r="O36" i="10" s="1"/>
  <c r="O236" i="10"/>
  <c r="M228" i="10"/>
  <c r="M34" i="10"/>
  <c r="M30" i="10"/>
  <c r="H34" i="10" l="1"/>
  <c r="H228" i="10"/>
  <c r="H245" i="4"/>
  <c r="Q244" i="10" s="1"/>
  <c r="Q36" i="10" s="1"/>
  <c r="Q236" i="10"/>
  <c r="H30" i="10"/>
  <c r="I6" i="13" s="1"/>
  <c r="I13" i="13" s="1"/>
  <c r="M244" i="10"/>
  <c r="M36" i="10" s="1"/>
  <c r="M236" i="10"/>
  <c r="H236" i="10" l="1"/>
  <c r="H244" i="10"/>
  <c r="H36" i="10" l="1"/>
  <c r="L44" i="14"/>
</calcChain>
</file>

<file path=xl/sharedStrings.xml><?xml version="1.0" encoding="utf-8"?>
<sst xmlns="http://schemas.openxmlformats.org/spreadsheetml/2006/main" count="5443" uniqueCount="479">
  <si>
    <t>Filtre</t>
  </si>
  <si>
    <t>Datofilter</t>
  </si>
  <si>
    <t>01-01-21..30-06-21</t>
  </si>
  <si>
    <t>Finansbudgetfilter</t>
  </si>
  <si>
    <t>2021</t>
  </si>
  <si>
    <t>Valuta</t>
  </si>
  <si>
    <t>DKK</t>
  </si>
  <si>
    <t>FORBRUG</t>
  </si>
  <si>
    <t>BUDGET</t>
  </si>
  <si>
    <t>AFVIGELSE</t>
  </si>
  <si>
    <t>FORBRUGS PROCENT</t>
  </si>
  <si>
    <t>RESTBUDGET</t>
  </si>
  <si>
    <t/>
  </si>
  <si>
    <t>BUDGETOPFØLGNING</t>
  </si>
  <si>
    <t>1</t>
  </si>
  <si>
    <t>Indtægtsbevilling</t>
  </si>
  <si>
    <t>2</t>
  </si>
  <si>
    <t>Salg af varer og tjenester</t>
  </si>
  <si>
    <t>3</t>
  </si>
  <si>
    <t>Internt statslig salg</t>
  </si>
  <si>
    <t>4</t>
  </si>
  <si>
    <t>Ordinær Driftsindtægter</t>
  </si>
  <si>
    <t>Ordinær Droftsomkostninger</t>
  </si>
  <si>
    <t>5</t>
  </si>
  <si>
    <t>Lagerregulæring</t>
  </si>
  <si>
    <t>6</t>
  </si>
  <si>
    <t>Husleje/ leje og leasing</t>
  </si>
  <si>
    <t>7</t>
  </si>
  <si>
    <t>Intert statligs køb</t>
  </si>
  <si>
    <t>11</t>
  </si>
  <si>
    <t>Personaleomkostninger</t>
  </si>
  <si>
    <t>12</t>
  </si>
  <si>
    <t>Ordinær Driftsomkostninger</t>
  </si>
  <si>
    <t>13</t>
  </si>
  <si>
    <t>Andre Indtægter</t>
  </si>
  <si>
    <t>14</t>
  </si>
  <si>
    <t>Andre Driftsomkostninger</t>
  </si>
  <si>
    <t>15</t>
  </si>
  <si>
    <t>Finansielle Indtægter</t>
  </si>
  <si>
    <t>16</t>
  </si>
  <si>
    <t>Finansielle omkostninger</t>
  </si>
  <si>
    <t>17</t>
  </si>
  <si>
    <t>Ekstra ordinære indtægter</t>
  </si>
  <si>
    <t>18</t>
  </si>
  <si>
    <t>Ekstra ordinære omkostninger</t>
  </si>
  <si>
    <t>19</t>
  </si>
  <si>
    <t>DRIFTSRESULTAT (før afskrivninger)</t>
  </si>
  <si>
    <t>20</t>
  </si>
  <si>
    <t>Afskrivninger</t>
  </si>
  <si>
    <t>RESULTATOPGØRELSE</t>
  </si>
  <si>
    <t>KONTOPLAN</t>
  </si>
  <si>
    <t>101000</t>
  </si>
  <si>
    <t>Indtægtsført bevilling</t>
  </si>
  <si>
    <t>101101</t>
  </si>
  <si>
    <t>Driftstaxameter</t>
  </si>
  <si>
    <t>101102</t>
  </si>
  <si>
    <t>Udslusningstaxameter</t>
  </si>
  <si>
    <t>101103</t>
  </si>
  <si>
    <t>Kombinationsforløbstaxameter</t>
  </si>
  <si>
    <t>101104</t>
  </si>
  <si>
    <t>Afsøgningstaxameter</t>
  </si>
  <si>
    <t>101105</t>
  </si>
  <si>
    <t>Grundtilskud</t>
  </si>
  <si>
    <t>101120</t>
  </si>
  <si>
    <t>Øvrige tilskud</t>
  </si>
  <si>
    <t>109999</t>
  </si>
  <si>
    <t>Indtægtsbevilling i alt</t>
  </si>
  <si>
    <t>110000</t>
  </si>
  <si>
    <t>Salg af varer og tjenster</t>
  </si>
  <si>
    <t>111001</t>
  </si>
  <si>
    <t>Indtægter i henhold til betalingsloven</t>
  </si>
  <si>
    <t>111002</t>
  </si>
  <si>
    <t>Skoleydelse og løn, EGU-elever</t>
  </si>
  <si>
    <t>111003</t>
  </si>
  <si>
    <t>Salg til Kommuner med moms</t>
  </si>
  <si>
    <t>111004</t>
  </si>
  <si>
    <t>Salg til kommuner uden moms</t>
  </si>
  <si>
    <t>115001</t>
  </si>
  <si>
    <t>Huslejeindtægter</t>
  </si>
  <si>
    <t>116001</t>
  </si>
  <si>
    <t>Leje af forpagtningsaftaler</t>
  </si>
  <si>
    <t>118001</t>
  </si>
  <si>
    <t>Salg af producerede ydelser m/moms</t>
  </si>
  <si>
    <t>118002</t>
  </si>
  <si>
    <t>Salg af producerede ydelser u/moms</t>
  </si>
  <si>
    <t>118003</t>
  </si>
  <si>
    <t>Salg til elever</t>
  </si>
  <si>
    <t>118020</t>
  </si>
  <si>
    <t>Salg i øvrigt</t>
  </si>
  <si>
    <t>119999</t>
  </si>
  <si>
    <t>121100</t>
  </si>
  <si>
    <t>Internt statsligt salg af varer og tjenester</t>
  </si>
  <si>
    <t>121201</t>
  </si>
  <si>
    <t>Internt statsligt salg</t>
  </si>
  <si>
    <t>129999</t>
  </si>
  <si>
    <t>Internt statsligt salg af varer og tjenester i alt</t>
  </si>
  <si>
    <t>139999</t>
  </si>
  <si>
    <t>Ord.driftsindtægter i alt</t>
  </si>
  <si>
    <t>150000</t>
  </si>
  <si>
    <t>Ord. drift.omkostninger</t>
  </si>
  <si>
    <t>150100</t>
  </si>
  <si>
    <t>Ændring i lagre</t>
  </si>
  <si>
    <t>151501</t>
  </si>
  <si>
    <t>Lagerregulering</t>
  </si>
  <si>
    <t>159999</t>
  </si>
  <si>
    <t>Ændring i lagre i alt</t>
  </si>
  <si>
    <t>160000</t>
  </si>
  <si>
    <t>Husleje mv.</t>
  </si>
  <si>
    <t>161001</t>
  </si>
  <si>
    <t>Husleje m/moms</t>
  </si>
  <si>
    <t>161002</t>
  </si>
  <si>
    <t>Husleje u/moms</t>
  </si>
  <si>
    <t>162001</t>
  </si>
  <si>
    <t>Leje af arealer - rettigheder</t>
  </si>
  <si>
    <t>163001</t>
  </si>
  <si>
    <t>Leje og leasing i øvrigt</t>
  </si>
  <si>
    <t>169999</t>
  </si>
  <si>
    <t>Husleje mv. i alt</t>
  </si>
  <si>
    <t>170000</t>
  </si>
  <si>
    <t>Internt statsligt køb varer/tj</t>
  </si>
  <si>
    <t>171201</t>
  </si>
  <si>
    <t>Internt statsligt køb</t>
  </si>
  <si>
    <t>171501</t>
  </si>
  <si>
    <t>Internt statsligt køb af koncernfælles funktioner</t>
  </si>
  <si>
    <t>179999</t>
  </si>
  <si>
    <t>Internt statsligt køb varer/tj i alt</t>
  </si>
  <si>
    <t>180000</t>
  </si>
  <si>
    <t>180100</t>
  </si>
  <si>
    <t>Direkte lønomkostninger</t>
  </si>
  <si>
    <t>180501</t>
  </si>
  <si>
    <t>Bidrag til flexjobordning og barselsfonden</t>
  </si>
  <si>
    <t>180701</t>
  </si>
  <si>
    <t>Fordelte indirekte lønomkostninger</t>
  </si>
  <si>
    <t>180801</t>
  </si>
  <si>
    <t>Intern fordelte lønomkostninger</t>
  </si>
  <si>
    <t>180901</t>
  </si>
  <si>
    <t>Modkonto til konto 1808 interne lønomk.</t>
  </si>
  <si>
    <t>181101</t>
  </si>
  <si>
    <t>Egentlig løn</t>
  </si>
  <si>
    <t>181501</t>
  </si>
  <si>
    <t>Indefrosne feriepenge (modkonto)</t>
  </si>
  <si>
    <t>181601</t>
  </si>
  <si>
    <t>Feriepenge (modkonto)</t>
  </si>
  <si>
    <t>181801</t>
  </si>
  <si>
    <t>Egentlig løn, manuel</t>
  </si>
  <si>
    <t>181804</t>
  </si>
  <si>
    <t>Skoleydelse over 18, udeboende</t>
  </si>
  <si>
    <t>181805</t>
  </si>
  <si>
    <t>Skoleydelse EGU-elever til viderefakt.</t>
  </si>
  <si>
    <t>181806</t>
  </si>
  <si>
    <t>Løn EGU-elever til viderefakt.</t>
  </si>
  <si>
    <t>182101</t>
  </si>
  <si>
    <t>Udbetaling lønrefusion for lånt personale</t>
  </si>
  <si>
    <t>183101</t>
  </si>
  <si>
    <t>Overarbejde</t>
  </si>
  <si>
    <t>184101</t>
  </si>
  <si>
    <t>Merarbejde</t>
  </si>
  <si>
    <t>185101</t>
  </si>
  <si>
    <t>Løn og overarbejde</t>
  </si>
  <si>
    <t>185601</t>
  </si>
  <si>
    <t>Overarbejde (modkonto)</t>
  </si>
  <si>
    <t>186101</t>
  </si>
  <si>
    <t>Særskilt vederlæggelse</t>
  </si>
  <si>
    <t>186801</t>
  </si>
  <si>
    <t>Særskilt vederlæggelse uden årsværk, manuel</t>
  </si>
  <si>
    <t>187101</t>
  </si>
  <si>
    <t>Frivilling fratrædelsesordning</t>
  </si>
  <si>
    <t>187201</t>
  </si>
  <si>
    <t>Kapitaliseret pensionsalderforhøjelse</t>
  </si>
  <si>
    <t>187601</t>
  </si>
  <si>
    <t>Resultatløn og frivfratrædelsesordninger mv hensæt</t>
  </si>
  <si>
    <t>187999</t>
  </si>
  <si>
    <t>Direkte lønomkost. i alt</t>
  </si>
  <si>
    <t>188000</t>
  </si>
  <si>
    <t>Pensionsbidrag</t>
  </si>
  <si>
    <t>188101</t>
  </si>
  <si>
    <t>188301</t>
  </si>
  <si>
    <t>Pensionsbidrag manuel</t>
  </si>
  <si>
    <t>188499</t>
  </si>
  <si>
    <t>Pensionsbidrag i alt</t>
  </si>
  <si>
    <t>188500</t>
  </si>
  <si>
    <t>Lønrefusioner</t>
  </si>
  <si>
    <t>188701</t>
  </si>
  <si>
    <t>Refusion Fleksjob</t>
  </si>
  <si>
    <t>188710</t>
  </si>
  <si>
    <t>Refusion Sygedagpenge</t>
  </si>
  <si>
    <t>188801</t>
  </si>
  <si>
    <t>Refusion udlånt personale</t>
  </si>
  <si>
    <t>188901</t>
  </si>
  <si>
    <t>Tilskud fra Barselsfonden</t>
  </si>
  <si>
    <t>189001</t>
  </si>
  <si>
    <t>Refusion fra Efteruddannelsesfonden</t>
  </si>
  <si>
    <t>189101</t>
  </si>
  <si>
    <t>Øvrig kompensation fraværende personale</t>
  </si>
  <si>
    <t>189201</t>
  </si>
  <si>
    <t>Øvrig tilskud/refusion for beskæftigelse</t>
  </si>
  <si>
    <t>189599</t>
  </si>
  <si>
    <t>Lønrefusioner i alt</t>
  </si>
  <si>
    <t>189899</t>
  </si>
  <si>
    <t>Personaleomkostninger i alt</t>
  </si>
  <si>
    <t>199999</t>
  </si>
  <si>
    <t>Ord. driftsomkostninger i alt</t>
  </si>
  <si>
    <t>209999</t>
  </si>
  <si>
    <t>Resultat af ordinær drift</t>
  </si>
  <si>
    <t>210000</t>
  </si>
  <si>
    <t>Andre driftindtægter</t>
  </si>
  <si>
    <t>211001</t>
  </si>
  <si>
    <t>Indtægter fra SPS</t>
  </si>
  <si>
    <t>211020</t>
  </si>
  <si>
    <t>Øvrige indtægter</t>
  </si>
  <si>
    <t>211025</t>
  </si>
  <si>
    <t>IDV Indtægter</t>
  </si>
  <si>
    <t>211030</t>
  </si>
  <si>
    <t>Lærling indtægter</t>
  </si>
  <si>
    <t>211040</t>
  </si>
  <si>
    <t>Momskompensation</t>
  </si>
  <si>
    <t>219001</t>
  </si>
  <si>
    <t>Gevinst ved afhændelse af anlæg</t>
  </si>
  <si>
    <t>219999</t>
  </si>
  <si>
    <t>Andre driftindtægter i alt</t>
  </si>
  <si>
    <t>220000</t>
  </si>
  <si>
    <t>Andre ordinære driftsomkostninger</t>
  </si>
  <si>
    <t>220501</t>
  </si>
  <si>
    <t>Hensættelser, andet</t>
  </si>
  <si>
    <t>220701</t>
  </si>
  <si>
    <t>Fordelte indirekte omkostninger</t>
  </si>
  <si>
    <t>220801</t>
  </si>
  <si>
    <t>Intern fordeling af øvrige omkostninger</t>
  </si>
  <si>
    <t>220901</t>
  </si>
  <si>
    <t>Modkonto til 2208 interne omkostninger</t>
  </si>
  <si>
    <t>221001</t>
  </si>
  <si>
    <t>Rejse og befordring m/moms, ansatte</t>
  </si>
  <si>
    <t>221002</t>
  </si>
  <si>
    <t>Rejse og befordring u/moms, ansatte</t>
  </si>
  <si>
    <t>221003</t>
  </si>
  <si>
    <t>Befordring, censor</t>
  </si>
  <si>
    <t>222001</t>
  </si>
  <si>
    <t>Ekstern repræsentation</t>
  </si>
  <si>
    <t>222002</t>
  </si>
  <si>
    <t>Intern repræsentation</t>
  </si>
  <si>
    <t>223001</t>
  </si>
  <si>
    <t>Rep. og vedligeholdelse, bygninger</t>
  </si>
  <si>
    <t>223002</t>
  </si>
  <si>
    <t>Rep. og vedligeholdelse, køretøjer, gulpladebiler</t>
  </si>
  <si>
    <t>223004</t>
  </si>
  <si>
    <t>Rep. og vedligeholdelse, køretøjer, hvidpladeblier</t>
  </si>
  <si>
    <t>223005</t>
  </si>
  <si>
    <t>Rep. og vedligeholdelse - Bygninger (Eget)</t>
  </si>
  <si>
    <t>223020</t>
  </si>
  <si>
    <t>Rep. og vedligeholdelse, øvrige</t>
  </si>
  <si>
    <t>223030</t>
  </si>
  <si>
    <t>Forsikringersager</t>
  </si>
  <si>
    <t>223201</t>
  </si>
  <si>
    <t>Arbejdsgivers am-bidrag, ejendomsskat og afgifter</t>
  </si>
  <si>
    <t>223202</t>
  </si>
  <si>
    <t>Registreringsafgift</t>
  </si>
  <si>
    <t>223601</t>
  </si>
  <si>
    <t>Rejse og befordring, elever</t>
  </si>
  <si>
    <t>223801</t>
  </si>
  <si>
    <t>Arbejdsgivernes uddannelsesbidrag (AUB)</t>
  </si>
  <si>
    <t>223810</t>
  </si>
  <si>
    <t>Samlet Betalinger (AER)</t>
  </si>
  <si>
    <t>224001</t>
  </si>
  <si>
    <t>Øvrige driftsaktiviteter</t>
  </si>
  <si>
    <t>224005</t>
  </si>
  <si>
    <t>Personalevælfærd</t>
  </si>
  <si>
    <t>224010</t>
  </si>
  <si>
    <t>Personalesager - HR-omkostninger</t>
  </si>
  <si>
    <t>225501</t>
  </si>
  <si>
    <t>Køb af energi - el</t>
  </si>
  <si>
    <t>225502</t>
  </si>
  <si>
    <t>Køb af energi - varme</t>
  </si>
  <si>
    <t>225503</t>
  </si>
  <si>
    <t>Køb af energi - vand</t>
  </si>
  <si>
    <t>225504</t>
  </si>
  <si>
    <t>Brændstof, hvidpladebiler</t>
  </si>
  <si>
    <t>225505</t>
  </si>
  <si>
    <t>Brændstof, gulpladebiler</t>
  </si>
  <si>
    <t>225507</t>
  </si>
  <si>
    <t>Refusion energiafgifter</t>
  </si>
  <si>
    <t>226001</t>
  </si>
  <si>
    <t>Køb af IT-varer til forbrug</t>
  </si>
  <si>
    <t>226501</t>
  </si>
  <si>
    <t>Køb af IT-tjenesteydelser</t>
  </si>
  <si>
    <t>227001</t>
  </si>
  <si>
    <t>Revision</t>
  </si>
  <si>
    <t>227002</t>
  </si>
  <si>
    <t>Advokat</t>
  </si>
  <si>
    <t>227003</t>
  </si>
  <si>
    <t>Konsulentbistand</t>
  </si>
  <si>
    <t>227004</t>
  </si>
  <si>
    <t>Annoncering og reklame</t>
  </si>
  <si>
    <t>227005</t>
  </si>
  <si>
    <t>Telefonabonnementer</t>
  </si>
  <si>
    <t>227006</t>
  </si>
  <si>
    <t>Kurser</t>
  </si>
  <si>
    <t>227007</t>
  </si>
  <si>
    <t>Fragt og gebyrer</t>
  </si>
  <si>
    <t>227008</t>
  </si>
  <si>
    <t>Rengøring og renovation</t>
  </si>
  <si>
    <t>227010</t>
  </si>
  <si>
    <t>Abonnementer og kontingenter m/moms</t>
  </si>
  <si>
    <t>227011</t>
  </si>
  <si>
    <t>Abonnementer og kontingenter u/moms</t>
  </si>
  <si>
    <t>227012</t>
  </si>
  <si>
    <t>Censorer</t>
  </si>
  <si>
    <t>227015</t>
  </si>
  <si>
    <t>Alarm / Nøglesystemer</t>
  </si>
  <si>
    <t>227020</t>
  </si>
  <si>
    <t>Køb af tj.ydelser i øvrigt</t>
  </si>
  <si>
    <t>227050</t>
  </si>
  <si>
    <t>Porto</t>
  </si>
  <si>
    <t>228001</t>
  </si>
  <si>
    <t>Undervisningsmateriale</t>
  </si>
  <si>
    <t>228002</t>
  </si>
  <si>
    <t>Arbejdstøj</t>
  </si>
  <si>
    <t>228003</t>
  </si>
  <si>
    <t>Kontorartikler</t>
  </si>
  <si>
    <t>228004</t>
  </si>
  <si>
    <t>Småanskaffelser</t>
  </si>
  <si>
    <t>228005</t>
  </si>
  <si>
    <t>Elevaktiviteter</t>
  </si>
  <si>
    <t>228006</t>
  </si>
  <si>
    <t>Varekøb til værkstedsdrift</t>
  </si>
  <si>
    <t>228007</t>
  </si>
  <si>
    <t>Køb EGU-elever til viderefakt.</t>
  </si>
  <si>
    <t>228008</t>
  </si>
  <si>
    <t>Varekøb til direkte videresalg uden forarbejdning</t>
  </si>
  <si>
    <t>228011</t>
  </si>
  <si>
    <t>Betalende Spiseordning Varekøb</t>
  </si>
  <si>
    <t>228020</t>
  </si>
  <si>
    <t>Øvrige omkostninger til værkstedsdrift</t>
  </si>
  <si>
    <t>229001</t>
  </si>
  <si>
    <t>Tab ved afhændelse af anlæg</t>
  </si>
  <si>
    <t>229101</t>
  </si>
  <si>
    <t>Kassedifferencer mv.</t>
  </si>
  <si>
    <t>229401</t>
  </si>
  <si>
    <t>Forventet tab på debitorer</t>
  </si>
  <si>
    <t>229501</t>
  </si>
  <si>
    <t>Tab på debitorer mv.</t>
  </si>
  <si>
    <t>229999</t>
  </si>
  <si>
    <t>Andre ord. drifts.omk I alt</t>
  </si>
  <si>
    <t>250000</t>
  </si>
  <si>
    <t>Finansielle indtægter</t>
  </si>
  <si>
    <t>252001</t>
  </si>
  <si>
    <t>Renteindtægter SKB</t>
  </si>
  <si>
    <t>254001</t>
  </si>
  <si>
    <t>Renteindtægter øvrige pengeinst.</t>
  </si>
  <si>
    <t>256001</t>
  </si>
  <si>
    <t>Værdipapirer</t>
  </si>
  <si>
    <t>257001</t>
  </si>
  <si>
    <t>Udbytter</t>
  </si>
  <si>
    <t>258001</t>
  </si>
  <si>
    <t>Morarenteindtægter</t>
  </si>
  <si>
    <t>259001</t>
  </si>
  <si>
    <t>Øvrige renteindtægter</t>
  </si>
  <si>
    <t>259201</t>
  </si>
  <si>
    <t>Værdiforskelle, solgte værdipapirer</t>
  </si>
  <si>
    <t>259401</t>
  </si>
  <si>
    <t>Værdiforskydning, optagne lån/gæld</t>
  </si>
  <si>
    <t>259999</t>
  </si>
  <si>
    <t>Finansielle indtægter i alt</t>
  </si>
  <si>
    <t>260000</t>
  </si>
  <si>
    <t>264001</t>
  </si>
  <si>
    <t>Renteudgifter SKB</t>
  </si>
  <si>
    <t>265001</t>
  </si>
  <si>
    <t>Prioritetsrenter og bidrag</t>
  </si>
  <si>
    <t>268001</t>
  </si>
  <si>
    <t>Morarenteudgifter til andre offentlige myndigheder</t>
  </si>
  <si>
    <t>268101</t>
  </si>
  <si>
    <t>Morarenter og gebyrer til leverandører</t>
  </si>
  <si>
    <t>269001</t>
  </si>
  <si>
    <t>Øvrige renteudgifter</t>
  </si>
  <si>
    <t>269201</t>
  </si>
  <si>
    <t>Tab/gevinst ved køb af værdipapirer</t>
  </si>
  <si>
    <t>269202</t>
  </si>
  <si>
    <t>Urealiseret kurstab</t>
  </si>
  <si>
    <t>269999</t>
  </si>
  <si>
    <t>Finansielle omkostninger i alt</t>
  </si>
  <si>
    <t>280000</t>
  </si>
  <si>
    <t>Ekstraordinære indtægter</t>
  </si>
  <si>
    <t>280501</t>
  </si>
  <si>
    <t>289899</t>
  </si>
  <si>
    <t>Ekstraordinære indtægter i alt</t>
  </si>
  <si>
    <t>290000</t>
  </si>
  <si>
    <t>Ekstraordinære omkostninger</t>
  </si>
  <si>
    <t>290501</t>
  </si>
  <si>
    <t>299799</t>
  </si>
  <si>
    <t>Ekstraordinære omkostninger i alt</t>
  </si>
  <si>
    <t>299999</t>
  </si>
  <si>
    <t>Driftsresultat (før overførelser)</t>
  </si>
  <si>
    <t>300000</t>
  </si>
  <si>
    <t>Overførsler mv.</t>
  </si>
  <si>
    <t>306001</t>
  </si>
  <si>
    <t>Told- og forbrugsafgifter</t>
  </si>
  <si>
    <t>308001</t>
  </si>
  <si>
    <t>Andre skatter og afgifter</t>
  </si>
  <si>
    <t>442401</t>
  </si>
  <si>
    <t>Fratrædelsesordninger, efterløn mv.</t>
  </si>
  <si>
    <t>469999</t>
  </si>
  <si>
    <t>Overførsler mv. i alt</t>
  </si>
  <si>
    <t>200000</t>
  </si>
  <si>
    <t>Af- og nedskrivning</t>
  </si>
  <si>
    <t>201001</t>
  </si>
  <si>
    <t>Neutralisering af donationsafskrivning</t>
  </si>
  <si>
    <t>203001</t>
  </si>
  <si>
    <t>Afskrivning alle aktiver</t>
  </si>
  <si>
    <t>205001</t>
  </si>
  <si>
    <t>Nedskrivning alle aktiver</t>
  </si>
  <si>
    <t>209899</t>
  </si>
  <si>
    <t>Af- og nedskrivning i alt</t>
  </si>
  <si>
    <t>499999</t>
  </si>
  <si>
    <t>Sted Filter</t>
  </si>
  <si>
    <t>90</t>
  </si>
  <si>
    <t>10</t>
  </si>
  <si>
    <t>60</t>
  </si>
  <si>
    <t>50</t>
  </si>
  <si>
    <t>40</t>
  </si>
  <si>
    <t>30</t>
  </si>
  <si>
    <t>21</t>
  </si>
  <si>
    <t>Fælles adm.</t>
  </si>
  <si>
    <t>Odense</t>
  </si>
  <si>
    <t>Laks</t>
  </si>
  <si>
    <t>Assens</t>
  </si>
  <si>
    <t>Nyborg</t>
  </si>
  <si>
    <t>Nordfyn</t>
  </si>
  <si>
    <t>Kerteminde</t>
  </si>
  <si>
    <t>Særlige tilskud</t>
  </si>
  <si>
    <t>ESTIMAT</t>
  </si>
  <si>
    <t>FÆLLES</t>
  </si>
  <si>
    <t>ODENSE</t>
  </si>
  <si>
    <t>LAKS</t>
  </si>
  <si>
    <t>ASSENS</t>
  </si>
  <si>
    <t>NYBORG</t>
  </si>
  <si>
    <t>NORDFYN</t>
  </si>
  <si>
    <t>KERTEMINDE</t>
  </si>
  <si>
    <t>SÆRLIGE BIDRAG</t>
  </si>
  <si>
    <t>Opgørelse af ændringer til estimat på taksameter</t>
  </si>
  <si>
    <t>Kontrol</t>
  </si>
  <si>
    <t>Difference</t>
  </si>
  <si>
    <t>Person jf. budget</t>
  </si>
  <si>
    <t>Total taksameter</t>
  </si>
  <si>
    <t>Per. person</t>
  </si>
  <si>
    <t>Personer den 23/5</t>
  </si>
  <si>
    <t>Nyt estimat taksameter</t>
  </si>
  <si>
    <t>Realiseret 1Q 2021</t>
  </si>
  <si>
    <t>Fordelingsprocent</t>
  </si>
  <si>
    <t>sit-ns-app20.prod.sitad.dk : 36616_FGU_Odense_mfl</t>
  </si>
  <si>
    <t>Finansposter : 02-06-2021 09:57:12</t>
  </si>
  <si>
    <t>Bogføringsdato</t>
  </si>
  <si>
    <t>Bilagsnr.</t>
  </si>
  <si>
    <t>Finanskontonr.</t>
  </si>
  <si>
    <t>Beskrivelse</t>
  </si>
  <si>
    <t>KVARTAL</t>
  </si>
  <si>
    <t>Beløb</t>
  </si>
  <si>
    <t>OMP2100220</t>
  </si>
  <si>
    <t>OMP2100099 Løft af det inkluderende læringsmiljø</t>
  </si>
  <si>
    <t>1Q</t>
  </si>
  <si>
    <t>IKKE FORDELT</t>
  </si>
  <si>
    <t>OMP2100103 Tilpasning af institutionsstruktur 2019</t>
  </si>
  <si>
    <t>OMP2100103 Implementering af FGU reform</t>
  </si>
  <si>
    <t>Supplerende indberetning 2019/2020</t>
  </si>
  <si>
    <t>IKKE FORDELT (heri er også noget gammel skoleydelse)</t>
  </si>
  <si>
    <t>Total taksamter</t>
  </si>
  <si>
    <t>Likviditets udvikling 2021</t>
  </si>
  <si>
    <t>Ultimo 2021</t>
  </si>
  <si>
    <t>Primo</t>
  </si>
  <si>
    <t>Momsforskydning UVM</t>
  </si>
  <si>
    <t>Provenu Grønnegårdsalle</t>
  </si>
  <si>
    <t xml:space="preserve"> </t>
  </si>
  <si>
    <t>Køb af Lindholm Havnevej (muligvis januar/februar 2022)</t>
  </si>
  <si>
    <t>Provenu Nørre Voldgade (muligvis januar/februar 2022)</t>
  </si>
  <si>
    <t>Lån</t>
  </si>
  <si>
    <t>Saldo</t>
  </si>
  <si>
    <t>Ultimo juni</t>
  </si>
  <si>
    <t>Regnskab 1/7 - 31/12 2021</t>
  </si>
  <si>
    <t>Feriepenge (indefrosne inden 31/8 2021)</t>
  </si>
  <si>
    <t>31/3 2021</t>
  </si>
  <si>
    <t>Udslusning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</si>
</sst>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_-* #,##0.00\ _k_r_._-;\-* #,##0.00\ _k_r_._-;_-* &quot;-&quot;??\ _k_r_._-;_-@_-"/>
  </numFmts>
  <fonts count="11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Microsoft Sans Serif"/>
      <family val="2"/>
    </font>
    <font>
      <sz val="10"/>
      <name val="Microsoft Sans Serif"/>
      <family val="2"/>
    </font>
    <font>
      <sz val="14"/>
      <color rgb="FFF2F2F2"/>
      <name val="Microsoft Sans Serif"/>
      <family val="2"/>
    </font>
    <font>
      <sz val="14"/>
      <name val="Microsoft Sans Serif"/>
      <family val="2"/>
    </font>
    <font>
      <b/>
      <sz val="28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98"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2" fillId="0" borderId="0" xfId="0" applyNumberFormat="1" applyFont="1"/>
    <xf numFmtId="49" fontId="2" fillId="0" borderId="2" xfId="0" applyNumberFormat="1" applyFont="1" applyBorder="1"/>
    <xf numFmtId="43" fontId="2" fillId="0" borderId="0" xfId="1" applyFont="1"/>
    <xf numFmtId="43" fontId="2" fillId="0" borderId="2" xfId="1" applyFont="1" applyBorder="1"/>
    <xf numFmtId="43" fontId="0" fillId="0" borderId="0" xfId="1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2" xfId="1" applyFont="1" applyBorder="1" applyAlignment="1">
      <alignment horizontal="right"/>
    </xf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2" fillId="0" borderId="0" xfId="0" applyNumberFormat="1" applyFont="1"/>
    <xf numFmtId="49" fontId="2" fillId="0" borderId="2" xfId="0" applyNumberFormat="1" applyFont="1" applyBorder="1"/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2" fillId="0" borderId="0" xfId="0" applyNumberFormat="1" applyFont="1"/>
    <xf numFmtId="49" fontId="2" fillId="0" borderId="2" xfId="0" applyNumberFormat="1" applyFont="1" applyBorder="1"/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2" fillId="0" borderId="0" xfId="0" applyNumberFormat="1" applyFont="1"/>
    <xf numFmtId="49" fontId="2" fillId="0" borderId="2" xfId="0" applyNumberFormat="1" applyFont="1" applyBorder="1"/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2" fillId="0" borderId="0" xfId="0" applyNumberFormat="1" applyFont="1"/>
    <xf numFmtId="49" fontId="2" fillId="0" borderId="2" xfId="0" applyNumberFormat="1" applyFont="1" applyBorder="1"/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2" fillId="0" borderId="0" xfId="0" applyNumberFormat="1" applyFont="1"/>
    <xf numFmtId="49" fontId="2" fillId="0" borderId="2" xfId="0" applyNumberFormat="1" applyFont="1" applyBorder="1"/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2" fillId="0" borderId="0" xfId="0" applyNumberFormat="1" applyFont="1"/>
    <xf numFmtId="49" fontId="2" fillId="0" borderId="2" xfId="0" applyNumberFormat="1" applyFont="1" applyBorder="1"/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2" fillId="0" borderId="0" xfId="0" applyNumberFormat="1" applyFont="1"/>
    <xf numFmtId="49" fontId="2" fillId="0" borderId="2" xfId="0" applyNumberFormat="1" applyFont="1" applyBorder="1"/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2" fillId="0" borderId="0" xfId="0" applyNumberFormat="1" applyFont="1"/>
    <xf numFmtId="49" fontId="2" fillId="0" borderId="2" xfId="0" applyNumberFormat="1" applyFont="1" applyBorder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2" xfId="1" applyNumberFormat="1" applyFont="1" applyBorder="1" applyAlignment="1">
      <alignment horizontal="right"/>
    </xf>
    <xf numFmtId="43" fontId="3" fillId="0" borderId="0" xfId="1" applyFont="1"/>
    <xf numFmtId="43" fontId="3" fillId="0" borderId="0" xfId="1" applyFont="1" applyFill="1"/>
    <xf numFmtId="43" fontId="2" fillId="0" borderId="0" xfId="1" applyFont="1" applyFill="1"/>
    <xf numFmtId="4" fontId="0" fillId="0" borderId="0" xfId="0" applyNumberFormat="1" applyAlignment="1">
      <alignment horizontal="right"/>
    </xf>
    <xf numFmtId="43" fontId="3" fillId="0" borderId="0" xfId="1" applyFont="1" applyAlignment="1">
      <alignment horizontal="right"/>
    </xf>
    <xf numFmtId="0" fontId="0" fillId="0" borderId="0" xfId="0" applyAlignment="1">
      <alignment horizontal="right"/>
    </xf>
    <xf numFmtId="43" fontId="3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0" fontId="2" fillId="0" borderId="0" xfId="0" applyFont="1"/>
    <xf numFmtId="166" fontId="0" fillId="0" borderId="0" xfId="0" applyNumberFormat="1"/>
    <xf numFmtId="9" fontId="0" fillId="0" borderId="0" xfId="3" applyFont="1"/>
    <xf numFmtId="9" fontId="0" fillId="0" borderId="0" xfId="3" applyFont="1" applyAlignment="1">
      <alignment horizontal="right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3" fontId="5" fillId="2" borderId="0" xfId="1" applyFont="1" applyFill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43" fontId="7" fillId="3" borderId="0" xfId="1" applyFont="1" applyFill="1" applyAlignment="1">
      <alignment horizontal="right" vertical="center"/>
    </xf>
    <xf numFmtId="14" fontId="0" fillId="0" borderId="0" xfId="0" applyNumberFormat="1"/>
    <xf numFmtId="4" fontId="1" fillId="0" borderId="0" xfId="2" applyNumberForma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0" fillId="0" borderId="0" xfId="1" applyNumberFormat="1" applyFont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2" xfId="1" applyNumberFormat="1" applyFont="1" applyBorder="1" applyAlignment="1">
      <alignment horizontal="right"/>
    </xf>
    <xf numFmtId="4" fontId="0" fillId="4" borderId="0" xfId="0" applyNumberFormat="1" applyFill="1" applyAlignment="1">
      <alignment horizontal="right"/>
    </xf>
    <xf numFmtId="43" fontId="0" fillId="0" borderId="0" xfId="1" applyFont="1"/>
    <xf numFmtId="0" fontId="9" fillId="0" borderId="0" xfId="0" applyFont="1" applyAlignment="1">
      <alignment wrapText="1"/>
    </xf>
    <xf numFmtId="43" fontId="10" fillId="0" borderId="0" xfId="1" applyFont="1"/>
    <xf numFmtId="164" fontId="0" fillId="4" borderId="0" xfId="1" applyNumberFormat="1" applyFont="1" applyFill="1" applyAlignment="1">
      <alignment horizontal="right"/>
    </xf>
    <xf numFmtId="164" fontId="0" fillId="5" borderId="0" xfId="1" applyNumberFormat="1" applyFont="1" applyFill="1" applyAlignment="1">
      <alignment horizontal="right"/>
    </xf>
    <xf numFmtId="164" fontId="2" fillId="5" borderId="0" xfId="1" applyNumberFormat="1" applyFont="1" applyFill="1" applyAlignment="1">
      <alignment horizontal="right"/>
    </xf>
    <xf numFmtId="164" fontId="2" fillId="5" borderId="2" xfId="1" applyNumberFormat="1" applyFont="1" applyFill="1" applyBorder="1" applyAlignment="1">
      <alignment horizontal="right"/>
    </xf>
    <xf numFmtId="164" fontId="0" fillId="6" borderId="0" xfId="1" applyNumberFormat="1" applyFont="1" applyFill="1" applyAlignment="1">
      <alignment horizontal="right"/>
    </xf>
    <xf numFmtId="164" fontId="2" fillId="6" borderId="0" xfId="1" applyNumberFormat="1" applyFont="1" applyFill="1" applyAlignment="1">
      <alignment horizontal="right"/>
    </xf>
    <xf numFmtId="164" fontId="2" fillId="6" borderId="2" xfId="1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0" xfId="0" applyAlignment="1"/>
    <xf numFmtId="43" fontId="0" fillId="0" borderId="0" xfId="1" applyFont="1" applyAlignment="1"/>
    <xf numFmtId="165" fontId="0" fillId="0" borderId="0" xfId="1" applyNumberFormat="1" applyFont="1" applyAlignment="1"/>
    <xf numFmtId="165" fontId="0" fillId="0" borderId="0" xfId="0" applyNumberFormat="1" applyAlignment="1"/>
    <xf numFmtId="43" fontId="0" fillId="0" borderId="0" xfId="0" applyNumberFormat="1" applyAlignment="1"/>
    <xf numFmtId="9" fontId="0" fillId="0" borderId="0" xfId="3" applyFont="1" applyAlignment="1"/>
    <xf numFmtId="166" fontId="0" fillId="0" borderId="0" xfId="0" applyNumberFormat="1" applyAlignment="1"/>
    <xf numFmtId="0" fontId="8" fillId="0" borderId="0" xfId="0" applyFont="1" applyAlignment="1">
      <alignment horizontal="center"/>
    </xf>
  </cellXfs>
  <cellStyles count="4">
    <cellStyle name="Komma" xfId="1" builtinId="3"/>
    <cellStyle name="Normal" xfId="0" builtinId="0"/>
    <cellStyle name="Normal 2" xfId="2" xr:uid="{00000000-0005-0000-0000-000002000000}"/>
    <cellStyle name="Pro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Likviditets udvikling 2021</a:t>
            </a:r>
          </a:p>
        </c:rich>
      </c:tx>
      <c:layout>
        <c:manualLayout>
          <c:xMode val="edge"/>
          <c:yMode val="edge"/>
          <c:x val="0.386574217426681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8096178870282956"/>
          <c:y val="0.16708333333333336"/>
          <c:w val="0.77137707786526688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[1]Likviditetsoversigt!$H$4:$I$4</c:f>
              <c:strCache>
                <c:ptCount val="1"/>
                <c:pt idx="0">
                  <c:v>Ultimo marts Ultimo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strRef>
              <c:f>[1]Likviditetsoversigt!$H$4:$I$4</c:f>
              <c:strCache>
                <c:ptCount val="2"/>
                <c:pt idx="0">
                  <c:v>Ultimo marts</c:v>
                </c:pt>
                <c:pt idx="1">
                  <c:v>Ultimo 2021</c:v>
                </c:pt>
              </c:strCache>
            </c:strRef>
          </c:cat>
          <c:val>
            <c:numRef>
              <c:f>[1]Likviditetsoversigt!$H$13:$I$13</c:f>
              <c:numCache>
                <c:formatCode>General</c:formatCode>
                <c:ptCount val="2"/>
                <c:pt idx="0">
                  <c:v>44797926.634000003</c:v>
                </c:pt>
                <c:pt idx="1">
                  <c:v>27058609.527931336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3C-4E7F-814C-30FFFAB9E3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6465568"/>
        <c:axId val="1348374304"/>
      </c:lineChart>
      <c:catAx>
        <c:axId val="108646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48374304"/>
        <c:crosses val="autoZero"/>
        <c:auto val="1"/>
        <c:lblAlgn val="ctr"/>
        <c:lblOffset val="100"/>
        <c:noMultiLvlLbl val="0"/>
      </c:catAx>
      <c:valAx>
        <c:axId val="13483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8646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942975</xdr:colOff>
      <xdr:row>17</xdr:row>
      <xdr:rowOff>33337</xdr:rowOff>
    </xdr:from>
    <xdr:to>
      <xdr:col>11</xdr:col>
      <xdr:colOff>923925</xdr:colOff>
      <xdr:row>31</xdr:row>
      <xdr:rowOff>109537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602F4E5-4B79-44E4-AC1C-A49391EABC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hw\AppData\Local\Microsoft\Windows\INetCache\Content.Outlook\2JEM5K07\Kvartalsregnskab%20pr%203103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jbr\Documents\FGU%20FYN\Kvartalsregnskab%20pr%20310321_simulering%20060821%20med%20nye%20estimattal%20for%20taksamter1008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kviditetsoversigt"/>
      <sheetName val="TOTAL FORBRUG"/>
      <sheetName val="TOTAL ESTIMAT"/>
      <sheetName val="ESTIMAT VERSUS 2020"/>
      <sheetName val="Fælles"/>
      <sheetName val="Odense"/>
      <sheetName val="Laks"/>
      <sheetName val="Assens"/>
      <sheetName val="Nyborg"/>
      <sheetName val="Nordfyn"/>
      <sheetName val="Kerteminde"/>
      <sheetName val="Særtilskud"/>
      <sheetName val="Taksameter"/>
      <sheetName val="Øvrige tilskud"/>
    </sheetNames>
    <sheetDataSet>
      <sheetData sheetId="0">
        <row r="4">
          <cell r="H4" t="str">
            <v>Ultimo marts</v>
          </cell>
          <cell r="I4" t="str">
            <v>Ultimo 2021</v>
          </cell>
        </row>
        <row r="13">
          <cell r="H13">
            <v>44797926.634000003</v>
          </cell>
          <cell r="I13">
            <v>27058609.527931336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kviditetsoversigt"/>
      <sheetName val="TOTAL FORBRUG"/>
      <sheetName val="TOTAL ESTIMAT"/>
      <sheetName val="ESTIMAT VERSUS 2020"/>
      <sheetName val="Fælles"/>
      <sheetName val="Odense"/>
      <sheetName val="Laks"/>
      <sheetName val="Assens"/>
      <sheetName val="Nyborg"/>
      <sheetName val="Nordfyn"/>
      <sheetName val="Kerteminde"/>
      <sheetName val="Særtilskud"/>
      <sheetName val="Taksameter"/>
      <sheetName val="Øvrige tilskud"/>
    </sheetNames>
    <sheetDataSet>
      <sheetData sheetId="0"/>
      <sheetData sheetId="1"/>
      <sheetData sheetId="2">
        <row r="41">
          <cell r="C41">
            <v>15088110.16</v>
          </cell>
          <cell r="D41">
            <v>64739024.600000001</v>
          </cell>
        </row>
        <row r="42">
          <cell r="C42"/>
          <cell r="D42">
            <v>3691120</v>
          </cell>
        </row>
        <row r="43">
          <cell r="C43">
            <v>620.84</v>
          </cell>
          <cell r="D43"/>
        </row>
        <row r="44">
          <cell r="C44"/>
          <cell r="D44">
            <v>87235.91</v>
          </cell>
        </row>
      </sheetData>
      <sheetData sheetId="3"/>
      <sheetData sheetId="4"/>
      <sheetData sheetId="5">
        <row r="41">
          <cell r="C41">
            <v>6487887.3600000003</v>
          </cell>
          <cell r="D41">
            <v>27956326.399999999</v>
          </cell>
        </row>
        <row r="42">
          <cell r="D42">
            <v>1479630</v>
          </cell>
        </row>
        <row r="43">
          <cell r="C43">
            <v>266.95</v>
          </cell>
        </row>
        <row r="44">
          <cell r="D44">
            <v>41540.910000000003</v>
          </cell>
        </row>
      </sheetData>
      <sheetData sheetId="6"/>
      <sheetData sheetId="7">
        <row r="41">
          <cell r="C41">
            <v>2112335.46</v>
          </cell>
          <cell r="D41">
            <v>8966527.3800000008</v>
          </cell>
        </row>
        <row r="42">
          <cell r="D42">
            <v>509120</v>
          </cell>
        </row>
        <row r="43">
          <cell r="C43">
            <v>86.91</v>
          </cell>
        </row>
        <row r="44">
          <cell r="D44">
            <v>8308.18</v>
          </cell>
        </row>
      </sheetData>
      <sheetData sheetId="8">
        <row r="41">
          <cell r="C41">
            <v>2263216.52</v>
          </cell>
          <cell r="D41">
            <v>8270231.8700000001</v>
          </cell>
        </row>
        <row r="42">
          <cell r="D42">
            <v>540940</v>
          </cell>
        </row>
        <row r="43">
          <cell r="C43">
            <v>93.13</v>
          </cell>
        </row>
        <row r="44">
          <cell r="D44">
            <v>12462.27</v>
          </cell>
        </row>
      </sheetData>
      <sheetData sheetId="9">
        <row r="41">
          <cell r="C41">
            <v>2263216.52</v>
          </cell>
          <cell r="D41">
            <v>9729695.75</v>
          </cell>
        </row>
        <row r="42">
          <cell r="C42"/>
          <cell r="D42">
            <v>620490</v>
          </cell>
        </row>
        <row r="43">
          <cell r="C43">
            <v>93.13</v>
          </cell>
          <cell r="D43"/>
        </row>
        <row r="44">
          <cell r="C44"/>
          <cell r="D44">
            <v>24924.55</v>
          </cell>
        </row>
      </sheetData>
      <sheetData sheetId="10">
        <row r="41">
          <cell r="C41">
            <v>1961454.3</v>
          </cell>
          <cell r="D41">
            <v>9816243.1999999993</v>
          </cell>
        </row>
        <row r="42">
          <cell r="C42"/>
          <cell r="D42">
            <v>540940</v>
          </cell>
        </row>
        <row r="43">
          <cell r="C43">
            <v>80.72</v>
          </cell>
          <cell r="D43"/>
        </row>
        <row r="44">
          <cell r="C44"/>
          <cell r="D44"/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9E36B-37CC-4B45-B53E-2DB80BA25C02}">
  <dimension ref="C1:N13"/>
  <sheetViews>
    <sheetView topLeftCell="A11" workbookViewId="0">
      <selection activeCell="C5" sqref="C5"/>
    </sheetView>
  </sheetViews>
  <sheetFormatPr defaultRowHeight="15" x14ac:dyDescent="0.25"/>
  <cols>
    <col min="1" max="1" width="9.140625" style="45"/>
    <col min="2" max="2" width="19.5703125" style="45" bestFit="1" customWidth="1"/>
    <col min="3" max="3" width="19" style="45" bestFit="1" customWidth="1"/>
    <col min="4" max="4" width="14.28515625" style="45" bestFit="1" customWidth="1"/>
    <col min="5" max="5" width="10.5703125" style="45" customWidth="1"/>
    <col min="6" max="6" width="7.5703125" style="45" hidden="1" customWidth="1"/>
    <col min="7" max="7" width="40.85546875" style="45" customWidth="1"/>
    <col min="8" max="14" width="14.28515625" style="45" bestFit="1" customWidth="1"/>
    <col min="15" max="16384" width="9.140625" style="45"/>
  </cols>
  <sheetData>
    <row r="1" spans="3:14" ht="36" x14ac:dyDescent="0.55000000000000004">
      <c r="C1" s="97" t="s">
        <v>464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4" spans="3:14" x14ac:dyDescent="0.25">
      <c r="H4" s="5" t="s">
        <v>474</v>
      </c>
      <c r="I4" s="8" t="s">
        <v>465</v>
      </c>
    </row>
    <row r="5" spans="3:14" x14ac:dyDescent="0.25">
      <c r="G5" s="61" t="s">
        <v>466</v>
      </c>
      <c r="H5" s="79"/>
      <c r="I5" s="79">
        <f>H13</f>
        <v>47538400.329999998</v>
      </c>
    </row>
    <row r="6" spans="3:14" x14ac:dyDescent="0.25">
      <c r="G6" s="61" t="s">
        <v>475</v>
      </c>
      <c r="H6" s="79"/>
      <c r="I6" s="79">
        <f>-ESTIMAT!C34+ESTIMAT!H30</f>
        <v>-9952898.3400000036</v>
      </c>
    </row>
    <row r="7" spans="3:14" x14ac:dyDescent="0.25">
      <c r="G7" s="61" t="s">
        <v>476</v>
      </c>
      <c r="H7" s="79"/>
      <c r="I7" s="79">
        <v>-7303433.5599999996</v>
      </c>
    </row>
    <row r="8" spans="3:14" x14ac:dyDescent="0.25">
      <c r="G8" s="61" t="s">
        <v>467</v>
      </c>
      <c r="H8" s="79"/>
      <c r="I8" s="79">
        <v>-500000</v>
      </c>
    </row>
    <row r="9" spans="3:14" x14ac:dyDescent="0.25">
      <c r="G9" s="61" t="s">
        <v>468</v>
      </c>
      <c r="H9" s="79"/>
      <c r="I9" s="79">
        <f>3200000-90100-1243384.35</f>
        <v>1866515.65</v>
      </c>
      <c r="J9" s="45" t="s">
        <v>469</v>
      </c>
    </row>
    <row r="10" spans="3:14" ht="30" x14ac:dyDescent="0.25">
      <c r="G10" s="80" t="s">
        <v>470</v>
      </c>
      <c r="H10" s="81"/>
      <c r="I10" s="81">
        <f>-6750000+170000</f>
        <v>-6580000</v>
      </c>
    </row>
    <row r="11" spans="3:14" ht="30" x14ac:dyDescent="0.25">
      <c r="G11" s="80" t="s">
        <v>471</v>
      </c>
      <c r="H11" s="81"/>
      <c r="I11" s="81">
        <v>3500000</v>
      </c>
    </row>
    <row r="12" spans="3:14" x14ac:dyDescent="0.25">
      <c r="G12" s="61" t="s">
        <v>472</v>
      </c>
      <c r="H12" s="79"/>
      <c r="I12" s="79">
        <f>-130000/3*2</f>
        <v>-86666.666666666672</v>
      </c>
    </row>
    <row r="13" spans="3:14" x14ac:dyDescent="0.25">
      <c r="G13" s="61" t="s">
        <v>473</v>
      </c>
      <c r="H13" s="79">
        <v>47538400.329999998</v>
      </c>
      <c r="I13" s="79">
        <f>SUM(I5:I12)</f>
        <v>28481917.413333327</v>
      </c>
    </row>
  </sheetData>
  <mergeCells count="1">
    <mergeCell ref="C1:N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46"/>
  <sheetViews>
    <sheetView topLeftCell="A25" workbookViewId="0">
      <selection activeCell="H42" sqref="H42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3" width="12.85546875" style="75" bestFit="1" customWidth="1"/>
    <col min="4" max="4" width="14" style="75" bestFit="1" customWidth="1"/>
    <col min="5" max="5" width="10.28515625" style="75" bestFit="1" customWidth="1"/>
    <col min="6" max="6" width="19.42578125" style="75" bestFit="1" customWidth="1"/>
    <col min="7" max="7" width="12.85546875" style="75" bestFit="1" customWidth="1"/>
    <col min="8" max="8" width="13.28515625" style="56" bestFit="1" customWidth="1"/>
  </cols>
  <sheetData>
    <row r="1" spans="1:8" x14ac:dyDescent="0.25">
      <c r="A1" s="26" t="s">
        <v>0</v>
      </c>
      <c r="B1" s="25"/>
    </row>
    <row r="2" spans="1:8" x14ac:dyDescent="0.25">
      <c r="A2" s="27" t="s">
        <v>1</v>
      </c>
      <c r="B2" s="27" t="s">
        <v>2</v>
      </c>
    </row>
    <row r="3" spans="1:8" x14ac:dyDescent="0.25">
      <c r="A3" s="27" t="s">
        <v>3</v>
      </c>
      <c r="B3" s="27" t="s">
        <v>4</v>
      </c>
    </row>
    <row r="4" spans="1:8" x14ac:dyDescent="0.25">
      <c r="A4" s="27" t="s">
        <v>412</v>
      </c>
      <c r="B4" s="27" t="s">
        <v>416</v>
      </c>
    </row>
    <row r="6" spans="1:8" x14ac:dyDescent="0.25">
      <c r="A6" s="27" t="s">
        <v>5</v>
      </c>
      <c r="B6" s="27" t="s">
        <v>6</v>
      </c>
    </row>
    <row r="8" spans="1:8" x14ac:dyDescent="0.25">
      <c r="A8" s="25"/>
      <c r="B8" s="25"/>
      <c r="C8" s="75" t="s">
        <v>7</v>
      </c>
      <c r="D8" s="75" t="s">
        <v>8</v>
      </c>
      <c r="E8" s="75" t="s">
        <v>9</v>
      </c>
      <c r="F8" s="75" t="s">
        <v>10</v>
      </c>
      <c r="G8" s="75" t="s">
        <v>11</v>
      </c>
      <c r="H8" s="56" t="s">
        <v>428</v>
      </c>
    </row>
    <row r="9" spans="1:8" x14ac:dyDescent="0.25">
      <c r="A9" s="28" t="s">
        <v>12</v>
      </c>
      <c r="B9" s="28" t="s">
        <v>13</v>
      </c>
      <c r="C9" s="76"/>
      <c r="D9" s="76"/>
      <c r="E9" s="76"/>
      <c r="F9" s="76"/>
      <c r="G9" s="76"/>
      <c r="H9" s="73"/>
    </row>
    <row r="10" spans="1:8" x14ac:dyDescent="0.25">
      <c r="A10" s="27" t="s">
        <v>12</v>
      </c>
      <c r="B10" s="27" t="s">
        <v>12</v>
      </c>
    </row>
    <row r="11" spans="1:8" x14ac:dyDescent="0.25">
      <c r="A11" s="27" t="s">
        <v>14</v>
      </c>
      <c r="B11" s="27" t="s">
        <v>15</v>
      </c>
      <c r="C11" s="75">
        <v>5421565</v>
      </c>
      <c r="D11" s="75">
        <v>12181940.300000001</v>
      </c>
      <c r="E11" s="75">
        <v>55.5</v>
      </c>
      <c r="F11" s="75">
        <v>44.5</v>
      </c>
      <c r="G11" s="75">
        <v>6760375.2999999998</v>
      </c>
      <c r="H11" s="56">
        <f>H46</f>
        <v>10578347.462213119</v>
      </c>
    </row>
    <row r="12" spans="1:8" x14ac:dyDescent="0.25">
      <c r="A12" s="27" t="s">
        <v>16</v>
      </c>
      <c r="B12" s="27" t="s">
        <v>17</v>
      </c>
      <c r="C12" s="75">
        <v>131129.20000000001</v>
      </c>
      <c r="D12" s="75">
        <v>561480</v>
      </c>
      <c r="E12" s="75">
        <v>76.650000000000006</v>
      </c>
      <c r="F12" s="75">
        <v>23.35</v>
      </c>
      <c r="G12" s="75">
        <v>430350.8</v>
      </c>
      <c r="H12" s="56">
        <f>H59</f>
        <v>680657.4</v>
      </c>
    </row>
    <row r="13" spans="1:8" x14ac:dyDescent="0.25">
      <c r="A13" s="27" t="s">
        <v>18</v>
      </c>
      <c r="B13" s="27" t="s">
        <v>19</v>
      </c>
      <c r="C13" s="75">
        <v>25544.75</v>
      </c>
      <c r="G13" s="75">
        <v>-25544.75</v>
      </c>
      <c r="H13" s="56">
        <f>H63</f>
        <v>51089.5</v>
      </c>
    </row>
    <row r="14" spans="1:8" x14ac:dyDescent="0.25">
      <c r="A14" s="28" t="s">
        <v>20</v>
      </c>
      <c r="B14" s="28" t="s">
        <v>21</v>
      </c>
      <c r="C14" s="76">
        <v>5578238.9500000002</v>
      </c>
      <c r="D14" s="76">
        <v>12743420.300000001</v>
      </c>
      <c r="E14" s="76">
        <v>56.23</v>
      </c>
      <c r="F14" s="76">
        <v>43.77</v>
      </c>
      <c r="G14" s="76">
        <v>7165181.3499999996</v>
      </c>
      <c r="H14" s="73">
        <f>SUM(H11:H13)</f>
        <v>11310094.36221312</v>
      </c>
    </row>
    <row r="15" spans="1:8" x14ac:dyDescent="0.25">
      <c r="A15" s="27" t="s">
        <v>12</v>
      </c>
      <c r="B15" s="27" t="s">
        <v>12</v>
      </c>
    </row>
    <row r="16" spans="1:8" x14ac:dyDescent="0.25">
      <c r="A16" s="28" t="s">
        <v>12</v>
      </c>
      <c r="B16" s="28" t="s">
        <v>22</v>
      </c>
      <c r="C16" s="76"/>
      <c r="D16" s="76"/>
      <c r="E16" s="76"/>
      <c r="F16" s="76"/>
      <c r="G16" s="76"/>
      <c r="H16" s="73"/>
    </row>
    <row r="17" spans="1:8" x14ac:dyDescent="0.25">
      <c r="A17" s="27" t="s">
        <v>23</v>
      </c>
      <c r="B17" s="27" t="s">
        <v>24</v>
      </c>
    </row>
    <row r="18" spans="1:8" x14ac:dyDescent="0.25">
      <c r="A18" s="27" t="s">
        <v>25</v>
      </c>
      <c r="B18" s="27" t="s">
        <v>26</v>
      </c>
      <c r="C18" s="75">
        <v>-88927.33</v>
      </c>
      <c r="D18" s="75">
        <v>-309146</v>
      </c>
      <c r="E18" s="75">
        <v>71.23</v>
      </c>
      <c r="F18" s="75">
        <v>28.77</v>
      </c>
      <c r="G18" s="75">
        <v>-220218.67</v>
      </c>
      <c r="H18" s="56">
        <f>H77</f>
        <v>-313327</v>
      </c>
    </row>
    <row r="19" spans="1:8" x14ac:dyDescent="0.25">
      <c r="A19" s="27" t="s">
        <v>27</v>
      </c>
      <c r="B19" s="27" t="s">
        <v>28</v>
      </c>
    </row>
    <row r="20" spans="1:8" x14ac:dyDescent="0.25">
      <c r="A20" s="27" t="s">
        <v>12</v>
      </c>
      <c r="B20" s="27" t="s">
        <v>12</v>
      </c>
    </row>
    <row r="21" spans="1:8" x14ac:dyDescent="0.25">
      <c r="A21" s="27" t="s">
        <v>29</v>
      </c>
      <c r="B21" s="27" t="s">
        <v>30</v>
      </c>
      <c r="C21" s="75">
        <v>-5627465.7999999998</v>
      </c>
      <c r="D21" s="75">
        <v>-10211011</v>
      </c>
      <c r="E21" s="75">
        <v>44.89</v>
      </c>
      <c r="F21" s="75">
        <v>55.11</v>
      </c>
      <c r="G21" s="75">
        <v>-4583545.2</v>
      </c>
      <c r="H21" s="56">
        <f>H123</f>
        <v>-8938567.5999999996</v>
      </c>
    </row>
    <row r="22" spans="1:8" x14ac:dyDescent="0.25">
      <c r="A22" s="28" t="s">
        <v>31</v>
      </c>
      <c r="B22" s="28" t="s">
        <v>32</v>
      </c>
      <c r="C22" s="76">
        <v>-5716393.1299999999</v>
      </c>
      <c r="D22" s="76">
        <v>-10520157</v>
      </c>
      <c r="E22" s="76">
        <v>45.66</v>
      </c>
      <c r="F22" s="76">
        <v>54.34</v>
      </c>
      <c r="G22" s="76">
        <v>-4803763.87</v>
      </c>
      <c r="H22" s="73">
        <f>H21</f>
        <v>-8938567.5999999996</v>
      </c>
    </row>
    <row r="23" spans="1:8" x14ac:dyDescent="0.25">
      <c r="A23" s="27" t="s">
        <v>12</v>
      </c>
      <c r="B23" s="27" t="s">
        <v>12</v>
      </c>
    </row>
    <row r="24" spans="1:8" x14ac:dyDescent="0.25">
      <c r="A24" s="27" t="s">
        <v>33</v>
      </c>
      <c r="B24" s="27" t="s">
        <v>34</v>
      </c>
      <c r="C24" s="75">
        <v>31970.62</v>
      </c>
      <c r="D24" s="75">
        <v>103200</v>
      </c>
      <c r="E24" s="75">
        <v>69.02</v>
      </c>
      <c r="F24" s="75">
        <v>30.98</v>
      </c>
      <c r="G24" s="75">
        <v>71229.38</v>
      </c>
      <c r="H24" s="56">
        <f>H136</f>
        <v>124775.62</v>
      </c>
    </row>
    <row r="25" spans="1:8" x14ac:dyDescent="0.25">
      <c r="A25" s="27" t="s">
        <v>35</v>
      </c>
      <c r="B25" s="27" t="s">
        <v>36</v>
      </c>
      <c r="C25" s="75">
        <v>-1208243.96</v>
      </c>
      <c r="D25" s="75">
        <v>-3906497.12</v>
      </c>
      <c r="E25" s="75">
        <v>69.069999999999993</v>
      </c>
      <c r="F25" s="75">
        <v>30.93</v>
      </c>
      <c r="G25" s="75">
        <v>-2698253.16</v>
      </c>
      <c r="H25" s="56">
        <f>H198</f>
        <v>-3779107.4809999992</v>
      </c>
    </row>
    <row r="26" spans="1:8" x14ac:dyDescent="0.25">
      <c r="A26" s="27" t="s">
        <v>37</v>
      </c>
      <c r="B26" s="27" t="s">
        <v>38</v>
      </c>
      <c r="H26" s="56">
        <f>H209</f>
        <v>0</v>
      </c>
    </row>
    <row r="27" spans="1:8" x14ac:dyDescent="0.25">
      <c r="A27" s="27" t="s">
        <v>39</v>
      </c>
      <c r="B27" s="27" t="s">
        <v>40</v>
      </c>
      <c r="C27" s="75">
        <v>-7971.71</v>
      </c>
      <c r="D27" s="75">
        <v>-33562</v>
      </c>
      <c r="E27" s="75">
        <v>76.25</v>
      </c>
      <c r="F27" s="75">
        <v>23.75</v>
      </c>
      <c r="G27" s="75">
        <v>-25590.29</v>
      </c>
      <c r="H27" s="56">
        <f>H219</f>
        <v>-34150.230000000003</v>
      </c>
    </row>
    <row r="28" spans="1:8" x14ac:dyDescent="0.25">
      <c r="A28" s="27" t="s">
        <v>41</v>
      </c>
      <c r="B28" s="27" t="s">
        <v>42</v>
      </c>
      <c r="H28" s="56">
        <f>H223</f>
        <v>0</v>
      </c>
    </row>
    <row r="29" spans="1:8" x14ac:dyDescent="0.25">
      <c r="A29" s="27" t="s">
        <v>43</v>
      </c>
      <c r="B29" s="27" t="s">
        <v>44</v>
      </c>
      <c r="H29" s="56">
        <f>H227</f>
        <v>0</v>
      </c>
    </row>
    <row r="30" spans="1:8" x14ac:dyDescent="0.25">
      <c r="A30" s="27" t="s">
        <v>12</v>
      </c>
      <c r="B30" s="27" t="s">
        <v>12</v>
      </c>
    </row>
    <row r="31" spans="1:8" ht="15.75" thickBot="1" x14ac:dyDescent="0.3">
      <c r="A31" s="29" t="s">
        <v>45</v>
      </c>
      <c r="B31" s="29" t="s">
        <v>46</v>
      </c>
      <c r="C31" s="77">
        <v>-1322399.23</v>
      </c>
      <c r="D31" s="77">
        <v>-1613595.82</v>
      </c>
      <c r="E31" s="77">
        <v>18.05</v>
      </c>
      <c r="F31" s="77">
        <v>81.95</v>
      </c>
      <c r="G31" s="77">
        <v>-291196.59000000003</v>
      </c>
      <c r="H31" s="74">
        <f>H14+H18+H22+H24+H25+H26+H27</f>
        <v>-1630282.3287868788</v>
      </c>
    </row>
    <row r="32" spans="1:8" ht="15.75" thickTop="1" x14ac:dyDescent="0.25">
      <c r="A32" s="27" t="s">
        <v>12</v>
      </c>
      <c r="B32" s="27" t="s">
        <v>12</v>
      </c>
    </row>
    <row r="33" spans="1:8" x14ac:dyDescent="0.25">
      <c r="A33" s="27" t="s">
        <v>47</v>
      </c>
      <c r="B33" s="27" t="s">
        <v>48</v>
      </c>
      <c r="C33" s="75">
        <v>-246196.6</v>
      </c>
      <c r="D33" s="75">
        <v>-612819.68999999994</v>
      </c>
      <c r="E33" s="75">
        <v>59.83</v>
      </c>
      <c r="F33" s="75">
        <v>40.17</v>
      </c>
      <c r="G33" s="75">
        <v>-366623.09</v>
      </c>
      <c r="H33" s="56">
        <f>H243</f>
        <v>-460093.5</v>
      </c>
    </row>
    <row r="34" spans="1:8" x14ac:dyDescent="0.25">
      <c r="A34" s="27" t="s">
        <v>12</v>
      </c>
      <c r="B34" s="27" t="s">
        <v>12</v>
      </c>
    </row>
    <row r="35" spans="1:8" ht="15.75" thickBot="1" x14ac:dyDescent="0.3">
      <c r="A35" s="29" t="s">
        <v>12</v>
      </c>
      <c r="B35" s="29" t="s">
        <v>49</v>
      </c>
      <c r="C35" s="77">
        <v>-1568595.83</v>
      </c>
      <c r="D35" s="77">
        <v>-2226415.5099999998</v>
      </c>
      <c r="E35" s="77">
        <v>29.55</v>
      </c>
      <c r="F35" s="77">
        <v>70.45</v>
      </c>
      <c r="G35" s="77">
        <v>-657819.68000000005</v>
      </c>
      <c r="H35" s="74">
        <f>H31+H33</f>
        <v>-2090375.8287868788</v>
      </c>
    </row>
    <row r="36" spans="1:8" ht="15.75" thickTop="1" x14ac:dyDescent="0.25">
      <c r="A36" s="27" t="s">
        <v>12</v>
      </c>
      <c r="B36" s="27" t="s">
        <v>12</v>
      </c>
    </row>
    <row r="37" spans="1:8" x14ac:dyDescent="0.25">
      <c r="A37" s="28" t="s">
        <v>12</v>
      </c>
      <c r="B37" s="28" t="s">
        <v>50</v>
      </c>
      <c r="C37" s="76"/>
      <c r="D37" s="76"/>
      <c r="E37" s="76"/>
      <c r="F37" s="76"/>
      <c r="G37" s="76"/>
      <c r="H37" s="73"/>
    </row>
    <row r="38" spans="1:8" x14ac:dyDescent="0.25">
      <c r="A38" s="27" t="s">
        <v>12</v>
      </c>
      <c r="B38" s="27" t="s">
        <v>12</v>
      </c>
    </row>
    <row r="39" spans="1:8" x14ac:dyDescent="0.25">
      <c r="A39" s="28" t="s">
        <v>51</v>
      </c>
      <c r="B39" s="28" t="s">
        <v>52</v>
      </c>
      <c r="C39" s="76"/>
      <c r="D39" s="76"/>
      <c r="E39" s="76"/>
      <c r="F39" s="76"/>
      <c r="G39" s="76"/>
      <c r="H39" s="73"/>
    </row>
    <row r="40" spans="1:8" x14ac:dyDescent="0.25">
      <c r="A40" s="27" t="s">
        <v>53</v>
      </c>
      <c r="B40" s="27" t="s">
        <v>54</v>
      </c>
      <c r="C40" s="75">
        <v>4329773.8600000003</v>
      </c>
      <c r="D40" s="75">
        <v>9729695.75</v>
      </c>
      <c r="E40" s="75">
        <v>55.5</v>
      </c>
      <c r="F40" s="75">
        <v>44.5</v>
      </c>
      <c r="G40" s="75">
        <v>5399921.8899999997</v>
      </c>
      <c r="H40" s="56">
        <f>Taksameter!D9</f>
        <v>8436188.9933341667</v>
      </c>
    </row>
    <row r="41" spans="1:8" x14ac:dyDescent="0.25">
      <c r="A41" s="27" t="s">
        <v>55</v>
      </c>
      <c r="B41" s="27" t="s">
        <v>56</v>
      </c>
      <c r="C41" s="75">
        <v>9089.2900000000009</v>
      </c>
      <c r="D41" s="75">
        <v>620490</v>
      </c>
      <c r="E41" s="75">
        <v>98.54</v>
      </c>
      <c r="F41" s="75">
        <v>1.46</v>
      </c>
      <c r="G41" s="75">
        <v>611400.71</v>
      </c>
      <c r="H41" s="56">
        <f>Taksameter!D23</f>
        <v>196283.76887895408</v>
      </c>
    </row>
    <row r="42" spans="1:8" x14ac:dyDescent="0.25">
      <c r="A42" s="27" t="s">
        <v>57</v>
      </c>
      <c r="B42" s="27" t="s">
        <v>58</v>
      </c>
      <c r="C42" s="75">
        <v>16097.75</v>
      </c>
      <c r="G42" s="75">
        <v>-16097.75</v>
      </c>
    </row>
    <row r="43" spans="1:8" x14ac:dyDescent="0.25">
      <c r="A43" s="27" t="s">
        <v>59</v>
      </c>
      <c r="B43" s="27" t="s">
        <v>60</v>
      </c>
      <c r="C43" s="75">
        <v>1439.4</v>
      </c>
      <c r="D43" s="75">
        <v>24924.55</v>
      </c>
      <c r="E43" s="75">
        <v>94.22</v>
      </c>
      <c r="F43" s="75">
        <v>5.78</v>
      </c>
      <c r="G43" s="75">
        <v>23485.15</v>
      </c>
    </row>
    <row r="44" spans="1:8" x14ac:dyDescent="0.25">
      <c r="A44" s="27" t="s">
        <v>61</v>
      </c>
      <c r="B44" s="27" t="s">
        <v>62</v>
      </c>
      <c r="C44" s="75">
        <v>880710</v>
      </c>
      <c r="D44" s="75">
        <v>1761420</v>
      </c>
      <c r="E44" s="75">
        <v>50</v>
      </c>
      <c r="F44" s="75">
        <v>50</v>
      </c>
      <c r="G44" s="75">
        <v>880710</v>
      </c>
      <c r="H44" s="56">
        <v>1761420</v>
      </c>
    </row>
    <row r="45" spans="1:8" x14ac:dyDescent="0.25">
      <c r="A45" s="27" t="s">
        <v>63</v>
      </c>
      <c r="B45" s="27" t="s">
        <v>64</v>
      </c>
      <c r="C45" s="75">
        <v>184454.7</v>
      </c>
      <c r="D45" s="75">
        <v>45410</v>
      </c>
      <c r="E45" s="75">
        <v>-306.2</v>
      </c>
      <c r="F45" s="75">
        <v>406.2</v>
      </c>
      <c r="G45" s="75">
        <v>-139044.70000000001</v>
      </c>
      <c r="H45" s="56">
        <f>C45+('[2]Øvrige tilskud'!F17*[2]Taksameter!D16)</f>
        <v>184454.7</v>
      </c>
    </row>
    <row r="46" spans="1:8" x14ac:dyDescent="0.25">
      <c r="A46" s="28" t="s">
        <v>65</v>
      </c>
      <c r="B46" s="28" t="s">
        <v>66</v>
      </c>
      <c r="C46" s="76">
        <v>5421565</v>
      </c>
      <c r="D46" s="76">
        <v>12181940.300000001</v>
      </c>
      <c r="E46" s="76">
        <v>55.5</v>
      </c>
      <c r="F46" s="76">
        <v>44.5</v>
      </c>
      <c r="G46" s="76">
        <v>6760375.2999999998</v>
      </c>
      <c r="H46" s="73">
        <f>SUM(H40:H45)</f>
        <v>10578347.462213119</v>
      </c>
    </row>
    <row r="47" spans="1:8" x14ac:dyDescent="0.25">
      <c r="A47" s="27" t="s">
        <v>12</v>
      </c>
      <c r="B47" s="27" t="s">
        <v>12</v>
      </c>
    </row>
    <row r="48" spans="1:8" x14ac:dyDescent="0.25">
      <c r="A48" s="28" t="s">
        <v>67</v>
      </c>
      <c r="B48" s="28" t="s">
        <v>68</v>
      </c>
      <c r="C48" s="76"/>
      <c r="D48" s="76"/>
      <c r="E48" s="76"/>
      <c r="F48" s="76"/>
      <c r="G48" s="76"/>
      <c r="H48" s="73"/>
    </row>
    <row r="49" spans="1:8" x14ac:dyDescent="0.25">
      <c r="A49" s="27" t="s">
        <v>69</v>
      </c>
      <c r="B49" s="27" t="s">
        <v>70</v>
      </c>
    </row>
    <row r="50" spans="1:8" x14ac:dyDescent="0.25">
      <c r="A50" s="27" t="s">
        <v>71</v>
      </c>
      <c r="B50" s="27" t="s">
        <v>72</v>
      </c>
      <c r="C50" s="75">
        <v>13045.4</v>
      </c>
      <c r="G50" s="75">
        <v>-13045.4</v>
      </c>
      <c r="H50" s="56">
        <v>13045.4</v>
      </c>
    </row>
    <row r="51" spans="1:8" x14ac:dyDescent="0.25">
      <c r="A51" s="27" t="s">
        <v>73</v>
      </c>
      <c r="B51" s="27" t="s">
        <v>74</v>
      </c>
    </row>
    <row r="52" spans="1:8" x14ac:dyDescent="0.25">
      <c r="A52" s="27" t="s">
        <v>75</v>
      </c>
      <c r="B52" s="27" t="s">
        <v>76</v>
      </c>
      <c r="C52" s="75">
        <v>105882</v>
      </c>
      <c r="G52" s="75">
        <v>-105882</v>
      </c>
      <c r="H52" s="56">
        <f>C52</f>
        <v>105882</v>
      </c>
    </row>
    <row r="53" spans="1:8" x14ac:dyDescent="0.25">
      <c r="A53" s="27" t="s">
        <v>77</v>
      </c>
      <c r="B53" s="27" t="s">
        <v>78</v>
      </c>
      <c r="C53" s="75">
        <v>4800</v>
      </c>
      <c r="D53" s="75">
        <v>10000</v>
      </c>
      <c r="E53" s="75">
        <v>52</v>
      </c>
      <c r="F53" s="75">
        <v>48</v>
      </c>
      <c r="G53" s="75">
        <v>5200</v>
      </c>
      <c r="H53" s="56">
        <v>10000</v>
      </c>
    </row>
    <row r="54" spans="1:8" x14ac:dyDescent="0.25">
      <c r="A54" s="27" t="s">
        <v>79</v>
      </c>
      <c r="B54" s="27" t="s">
        <v>80</v>
      </c>
    </row>
    <row r="55" spans="1:8" x14ac:dyDescent="0.25">
      <c r="A55" s="27" t="s">
        <v>81</v>
      </c>
      <c r="B55" s="27" t="s">
        <v>82</v>
      </c>
      <c r="C55" s="75">
        <v>2896.8</v>
      </c>
      <c r="D55" s="75">
        <v>24000</v>
      </c>
      <c r="E55" s="75">
        <v>87.93</v>
      </c>
      <c r="F55" s="75">
        <v>12.07</v>
      </c>
      <c r="G55" s="75">
        <v>21103.200000000001</v>
      </c>
      <c r="H55" s="56">
        <v>24000</v>
      </c>
    </row>
    <row r="56" spans="1:8" x14ac:dyDescent="0.25">
      <c r="A56" s="27" t="s">
        <v>83</v>
      </c>
      <c r="B56" s="27" t="s">
        <v>84</v>
      </c>
      <c r="C56" s="75">
        <v>-545</v>
      </c>
      <c r="D56" s="75">
        <v>350000</v>
      </c>
      <c r="E56" s="75">
        <v>100.16</v>
      </c>
      <c r="F56" s="75">
        <v>-0.16</v>
      </c>
      <c r="G56" s="75">
        <v>350545</v>
      </c>
      <c r="H56" s="56">
        <v>350000</v>
      </c>
    </row>
    <row r="57" spans="1:8" x14ac:dyDescent="0.25">
      <c r="A57" s="27" t="s">
        <v>85</v>
      </c>
      <c r="B57" s="27" t="s">
        <v>86</v>
      </c>
      <c r="C57" s="75">
        <v>250</v>
      </c>
      <c r="G57" s="75">
        <v>-250</v>
      </c>
      <c r="H57" s="56">
        <f>C57</f>
        <v>250</v>
      </c>
    </row>
    <row r="58" spans="1:8" x14ac:dyDescent="0.25">
      <c r="A58" s="27" t="s">
        <v>87</v>
      </c>
      <c r="B58" s="27" t="s">
        <v>88</v>
      </c>
      <c r="C58" s="75">
        <v>4800</v>
      </c>
      <c r="D58" s="75">
        <v>177480</v>
      </c>
      <c r="E58" s="75">
        <v>97.3</v>
      </c>
      <c r="F58" s="75">
        <v>2.7</v>
      </c>
      <c r="G58" s="75">
        <v>172680</v>
      </c>
      <c r="H58" s="56">
        <v>177480</v>
      </c>
    </row>
    <row r="59" spans="1:8" x14ac:dyDescent="0.25">
      <c r="A59" s="28" t="s">
        <v>89</v>
      </c>
      <c r="B59" s="28" t="s">
        <v>17</v>
      </c>
      <c r="C59" s="76">
        <v>131129.20000000001</v>
      </c>
      <c r="D59" s="76">
        <v>561480</v>
      </c>
      <c r="E59" s="76">
        <v>76.650000000000006</v>
      </c>
      <c r="F59" s="76">
        <v>23.35</v>
      </c>
      <c r="G59" s="76">
        <v>430350.8</v>
      </c>
      <c r="H59" s="73">
        <f>SUM(H49:H58)</f>
        <v>680657.4</v>
      </c>
    </row>
    <row r="60" spans="1:8" x14ac:dyDescent="0.25">
      <c r="A60" s="27" t="s">
        <v>12</v>
      </c>
      <c r="B60" s="27" t="s">
        <v>12</v>
      </c>
    </row>
    <row r="61" spans="1:8" x14ac:dyDescent="0.25">
      <c r="A61" s="28" t="s">
        <v>90</v>
      </c>
      <c r="B61" s="28" t="s">
        <v>91</v>
      </c>
      <c r="C61" s="76"/>
      <c r="D61" s="76"/>
      <c r="E61" s="76"/>
      <c r="F61" s="76"/>
      <c r="G61" s="76"/>
      <c r="H61" s="73"/>
    </row>
    <row r="62" spans="1:8" x14ac:dyDescent="0.25">
      <c r="A62" s="27" t="s">
        <v>92</v>
      </c>
      <c r="B62" s="27" t="s">
        <v>93</v>
      </c>
      <c r="C62" s="75">
        <v>25544.75</v>
      </c>
      <c r="G62" s="75">
        <v>-25544.75</v>
      </c>
      <c r="H62" s="56">
        <f>C62*2</f>
        <v>51089.5</v>
      </c>
    </row>
    <row r="63" spans="1:8" x14ac:dyDescent="0.25">
      <c r="A63" s="28" t="s">
        <v>94</v>
      </c>
      <c r="B63" s="28" t="s">
        <v>95</v>
      </c>
      <c r="C63" s="76">
        <v>25544.75</v>
      </c>
      <c r="D63" s="76"/>
      <c r="E63" s="76"/>
      <c r="F63" s="76"/>
      <c r="G63" s="76">
        <v>-25544.75</v>
      </c>
      <c r="H63" s="73">
        <f>H62</f>
        <v>51089.5</v>
      </c>
    </row>
    <row r="64" spans="1:8" x14ac:dyDescent="0.25">
      <c r="A64" s="27" t="s">
        <v>12</v>
      </c>
      <c r="B64" s="27" t="s">
        <v>12</v>
      </c>
    </row>
    <row r="65" spans="1:8" x14ac:dyDescent="0.25">
      <c r="A65" s="28" t="s">
        <v>96</v>
      </c>
      <c r="B65" s="28" t="s">
        <v>97</v>
      </c>
      <c r="C65" s="76">
        <v>5578238.9500000002</v>
      </c>
      <c r="D65" s="76">
        <v>12743420.300000001</v>
      </c>
      <c r="E65" s="76">
        <v>56.23</v>
      </c>
      <c r="F65" s="76">
        <v>43.77</v>
      </c>
      <c r="G65" s="76">
        <v>7165181.3499999996</v>
      </c>
      <c r="H65" s="73">
        <f>H63+H59+H46</f>
        <v>11310094.36221312</v>
      </c>
    </row>
    <row r="66" spans="1:8" x14ac:dyDescent="0.25">
      <c r="A66" s="27" t="s">
        <v>12</v>
      </c>
      <c r="B66" s="27" t="s">
        <v>12</v>
      </c>
    </row>
    <row r="67" spans="1:8" x14ac:dyDescent="0.25">
      <c r="A67" s="28" t="s">
        <v>98</v>
      </c>
      <c r="B67" s="28" t="s">
        <v>99</v>
      </c>
      <c r="C67" s="76"/>
      <c r="D67" s="76"/>
      <c r="E67" s="76"/>
      <c r="F67" s="76"/>
      <c r="G67" s="76"/>
      <c r="H67" s="73"/>
    </row>
    <row r="68" spans="1:8" x14ac:dyDescent="0.25">
      <c r="A68" s="27" t="s">
        <v>100</v>
      </c>
      <c r="B68" s="27" t="s">
        <v>101</v>
      </c>
    </row>
    <row r="69" spans="1:8" x14ac:dyDescent="0.25">
      <c r="A69" s="27" t="s">
        <v>102</v>
      </c>
      <c r="B69" s="27" t="s">
        <v>103</v>
      </c>
    </row>
    <row r="70" spans="1:8" x14ac:dyDescent="0.25">
      <c r="A70" s="28" t="s">
        <v>104</v>
      </c>
      <c r="B70" s="28" t="s">
        <v>105</v>
      </c>
      <c r="C70" s="76"/>
      <c r="D70" s="76"/>
      <c r="E70" s="76"/>
      <c r="F70" s="76"/>
      <c r="G70" s="76"/>
      <c r="H70" s="73"/>
    </row>
    <row r="71" spans="1:8" x14ac:dyDescent="0.25">
      <c r="A71" s="27" t="s">
        <v>12</v>
      </c>
      <c r="B71" s="27" t="s">
        <v>12</v>
      </c>
    </row>
    <row r="72" spans="1:8" x14ac:dyDescent="0.25">
      <c r="A72" s="28" t="s">
        <v>106</v>
      </c>
      <c r="B72" s="28" t="s">
        <v>107</v>
      </c>
      <c r="C72" s="76"/>
      <c r="D72" s="76"/>
      <c r="E72" s="76"/>
      <c r="F72" s="76"/>
      <c r="G72" s="76"/>
      <c r="H72" s="73"/>
    </row>
    <row r="73" spans="1:8" x14ac:dyDescent="0.25">
      <c r="A73" s="27" t="s">
        <v>108</v>
      </c>
      <c r="B73" s="27" t="s">
        <v>109</v>
      </c>
    </row>
    <row r="74" spans="1:8" x14ac:dyDescent="0.25">
      <c r="A74" s="27" t="s">
        <v>110</v>
      </c>
      <c r="B74" s="27" t="s">
        <v>111</v>
      </c>
    </row>
    <row r="75" spans="1:8" x14ac:dyDescent="0.25">
      <c r="A75" s="27" t="s">
        <v>112</v>
      </c>
      <c r="B75" s="27" t="s">
        <v>113</v>
      </c>
      <c r="C75" s="75">
        <v>-4181</v>
      </c>
      <c r="G75" s="75">
        <v>4181</v>
      </c>
      <c r="H75" s="56">
        <f>C75</f>
        <v>-4181</v>
      </c>
    </row>
    <row r="76" spans="1:8" x14ac:dyDescent="0.25">
      <c r="A76" s="27" t="s">
        <v>114</v>
      </c>
      <c r="B76" s="27" t="s">
        <v>115</v>
      </c>
      <c r="C76" s="75">
        <v>-84746.33</v>
      </c>
      <c r="D76" s="75">
        <v>-309146</v>
      </c>
      <c r="E76" s="75">
        <v>72.59</v>
      </c>
      <c r="F76" s="75">
        <v>27.41</v>
      </c>
      <c r="G76" s="75">
        <v>-224399.67</v>
      </c>
      <c r="H76" s="56">
        <v>-309146</v>
      </c>
    </row>
    <row r="77" spans="1:8" x14ac:dyDescent="0.25">
      <c r="A77" s="28" t="s">
        <v>116</v>
      </c>
      <c r="B77" s="28" t="s">
        <v>117</v>
      </c>
      <c r="C77" s="76">
        <v>-88927.33</v>
      </c>
      <c r="D77" s="76">
        <v>-309146</v>
      </c>
      <c r="E77" s="76">
        <v>71.23</v>
      </c>
      <c r="F77" s="76">
        <v>28.77</v>
      </c>
      <c r="G77" s="76">
        <v>-220218.67</v>
      </c>
      <c r="H77" s="73">
        <f>SUM(H73:H76)</f>
        <v>-313327</v>
      </c>
    </row>
    <row r="78" spans="1:8" x14ac:dyDescent="0.25">
      <c r="A78" s="27" t="s">
        <v>12</v>
      </c>
      <c r="B78" s="27" t="s">
        <v>12</v>
      </c>
    </row>
    <row r="79" spans="1:8" x14ac:dyDescent="0.25">
      <c r="A79" s="28" t="s">
        <v>118</v>
      </c>
      <c r="B79" s="28" t="s">
        <v>119</v>
      </c>
      <c r="C79" s="76"/>
      <c r="D79" s="76"/>
      <c r="E79" s="76"/>
      <c r="F79" s="76"/>
      <c r="G79" s="76"/>
      <c r="H79" s="73"/>
    </row>
    <row r="80" spans="1:8" x14ac:dyDescent="0.25">
      <c r="A80" s="27" t="s">
        <v>120</v>
      </c>
      <c r="B80" s="27" t="s">
        <v>121</v>
      </c>
    </row>
    <row r="81" spans="1:8" x14ac:dyDescent="0.25">
      <c r="A81" s="27" t="s">
        <v>122</v>
      </c>
      <c r="B81" s="27" t="s">
        <v>123</v>
      </c>
    </row>
    <row r="82" spans="1:8" x14ac:dyDescent="0.25">
      <c r="A82" s="28" t="s">
        <v>124</v>
      </c>
      <c r="B82" s="28" t="s">
        <v>125</v>
      </c>
      <c r="C82" s="76"/>
      <c r="D82" s="76"/>
      <c r="E82" s="76"/>
      <c r="F82" s="76"/>
      <c r="G82" s="76"/>
      <c r="H82" s="73">
        <f>H80+H81</f>
        <v>0</v>
      </c>
    </row>
    <row r="83" spans="1:8" x14ac:dyDescent="0.25">
      <c r="A83" s="27" t="s">
        <v>12</v>
      </c>
      <c r="B83" s="27" t="s">
        <v>12</v>
      </c>
    </row>
    <row r="84" spans="1:8" x14ac:dyDescent="0.25">
      <c r="A84" s="28" t="s">
        <v>126</v>
      </c>
      <c r="B84" s="28" t="s">
        <v>30</v>
      </c>
      <c r="C84" s="76"/>
      <c r="D84" s="76"/>
      <c r="E84" s="76"/>
      <c r="F84" s="76"/>
      <c r="G84" s="76"/>
      <c r="H84" s="73"/>
    </row>
    <row r="85" spans="1:8" x14ac:dyDescent="0.25">
      <c r="A85" s="27" t="s">
        <v>127</v>
      </c>
      <c r="B85" s="27" t="s">
        <v>128</v>
      </c>
    </row>
    <row r="86" spans="1:8" x14ac:dyDescent="0.25">
      <c r="A86" s="27" t="s">
        <v>129</v>
      </c>
      <c r="B86" s="27" t="s">
        <v>130</v>
      </c>
      <c r="D86" s="75">
        <v>-123552</v>
      </c>
      <c r="E86" s="75">
        <v>100</v>
      </c>
      <c r="G86" s="75">
        <v>-123552</v>
      </c>
      <c r="H86" s="56">
        <v>0</v>
      </c>
    </row>
    <row r="87" spans="1:8" x14ac:dyDescent="0.25">
      <c r="A87" s="27" t="s">
        <v>131</v>
      </c>
      <c r="B87" s="27" t="s">
        <v>132</v>
      </c>
    </row>
    <row r="88" spans="1:8" x14ac:dyDescent="0.25">
      <c r="A88" s="27" t="s">
        <v>133</v>
      </c>
      <c r="B88" s="27" t="s">
        <v>134</v>
      </c>
      <c r="C88" s="75">
        <v>-6575.62</v>
      </c>
      <c r="G88" s="75">
        <v>6575.62</v>
      </c>
      <c r="H88" s="56">
        <v>-6575.62</v>
      </c>
    </row>
    <row r="89" spans="1:8" x14ac:dyDescent="0.25">
      <c r="A89" s="27" t="s">
        <v>135</v>
      </c>
      <c r="B89" s="27" t="s">
        <v>136</v>
      </c>
      <c r="C89" s="75">
        <v>6575.62</v>
      </c>
      <c r="G89" s="75">
        <v>-6575.62</v>
      </c>
      <c r="H89" s="56">
        <v>6575.62</v>
      </c>
    </row>
    <row r="90" spans="1:8" x14ac:dyDescent="0.25">
      <c r="A90" s="27" t="s">
        <v>137</v>
      </c>
      <c r="B90" s="27" t="s">
        <v>138</v>
      </c>
      <c r="C90" s="75">
        <v>-5246377.38</v>
      </c>
      <c r="D90" s="75">
        <v>-8673825.3599999994</v>
      </c>
      <c r="E90" s="75">
        <v>39.51</v>
      </c>
      <c r="F90" s="75">
        <v>60.49</v>
      </c>
      <c r="G90" s="75">
        <v>-3427447.98</v>
      </c>
      <c r="H90" s="56">
        <f>-7824719.93-107017</f>
        <v>-7931736.9299999997</v>
      </c>
    </row>
    <row r="91" spans="1:8" x14ac:dyDescent="0.25">
      <c r="A91" s="27" t="s">
        <v>139</v>
      </c>
      <c r="B91" s="27" t="s">
        <v>140</v>
      </c>
    </row>
    <row r="92" spans="1:8" x14ac:dyDescent="0.25">
      <c r="A92" s="27" t="s">
        <v>141</v>
      </c>
      <c r="B92" s="27" t="s">
        <v>142</v>
      </c>
    </row>
    <row r="93" spans="1:8" x14ac:dyDescent="0.25">
      <c r="A93" s="27" t="s">
        <v>143</v>
      </c>
      <c r="B93" s="27" t="s">
        <v>144</v>
      </c>
    </row>
    <row r="94" spans="1:8" x14ac:dyDescent="0.25">
      <c r="A94" s="27" t="s">
        <v>145</v>
      </c>
      <c r="B94" s="27" t="s">
        <v>146</v>
      </c>
    </row>
    <row r="95" spans="1:8" x14ac:dyDescent="0.25">
      <c r="A95" s="27" t="s">
        <v>147</v>
      </c>
      <c r="B95" s="27" t="s">
        <v>148</v>
      </c>
      <c r="C95" s="75">
        <v>-2676.79</v>
      </c>
      <c r="G95" s="75">
        <v>2676.79</v>
      </c>
      <c r="H95" s="56">
        <v>-2676.79</v>
      </c>
    </row>
    <row r="96" spans="1:8" x14ac:dyDescent="0.25">
      <c r="A96" s="27" t="s">
        <v>149</v>
      </c>
      <c r="B96" s="27" t="s">
        <v>150</v>
      </c>
    </row>
    <row r="97" spans="1:8" x14ac:dyDescent="0.25">
      <c r="A97" s="27" t="s">
        <v>151</v>
      </c>
      <c r="B97" s="27" t="s">
        <v>152</v>
      </c>
    </row>
    <row r="98" spans="1:8" x14ac:dyDescent="0.25">
      <c r="A98" s="27" t="s">
        <v>153</v>
      </c>
      <c r="B98" s="27" t="s">
        <v>154</v>
      </c>
    </row>
    <row r="99" spans="1:8" x14ac:dyDescent="0.25">
      <c r="A99" s="27" t="s">
        <v>155</v>
      </c>
      <c r="B99" s="27" t="s">
        <v>156</v>
      </c>
    </row>
    <row r="100" spans="1:8" x14ac:dyDescent="0.25">
      <c r="A100" s="27" t="s">
        <v>157</v>
      </c>
      <c r="B100" s="27" t="s">
        <v>158</v>
      </c>
    </row>
    <row r="101" spans="1:8" x14ac:dyDescent="0.25">
      <c r="A101" s="27" t="s">
        <v>159</v>
      </c>
      <c r="B101" s="27" t="s">
        <v>160</v>
      </c>
    </row>
    <row r="102" spans="1:8" x14ac:dyDescent="0.25">
      <c r="A102" s="27" t="s">
        <v>161</v>
      </c>
      <c r="B102" s="27" t="s">
        <v>162</v>
      </c>
    </row>
    <row r="103" spans="1:8" x14ac:dyDescent="0.25">
      <c r="A103" s="27" t="s">
        <v>163</v>
      </c>
      <c r="B103" s="27" t="s">
        <v>164</v>
      </c>
    </row>
    <row r="104" spans="1:8" x14ac:dyDescent="0.25">
      <c r="A104" s="27" t="s">
        <v>165</v>
      </c>
      <c r="B104" s="27" t="s">
        <v>166</v>
      </c>
    </row>
    <row r="105" spans="1:8" x14ac:dyDescent="0.25">
      <c r="A105" s="27" t="s">
        <v>167</v>
      </c>
      <c r="B105" s="27" t="s">
        <v>168</v>
      </c>
    </row>
    <row r="106" spans="1:8" x14ac:dyDescent="0.25">
      <c r="A106" s="27" t="s">
        <v>169</v>
      </c>
      <c r="B106" s="27" t="s">
        <v>170</v>
      </c>
      <c r="C106" s="75">
        <v>271353.73</v>
      </c>
      <c r="G106" s="75">
        <v>-271353.73</v>
      </c>
      <c r="H106" s="56">
        <f>237621.51+33732.22</f>
        <v>271353.73</v>
      </c>
    </row>
    <row r="107" spans="1:8" x14ac:dyDescent="0.25">
      <c r="A107" s="28" t="s">
        <v>171</v>
      </c>
      <c r="B107" s="28" t="s">
        <v>172</v>
      </c>
      <c r="C107" s="76">
        <v>-4977700.4400000004</v>
      </c>
      <c r="D107" s="76">
        <v>-8797377.3599999994</v>
      </c>
      <c r="E107" s="76">
        <v>43.42</v>
      </c>
      <c r="F107" s="76">
        <v>56.58</v>
      </c>
      <c r="G107" s="76">
        <v>-3819676.92</v>
      </c>
      <c r="H107" s="73">
        <f>SUM(H85:H106)</f>
        <v>-7663059.9900000002</v>
      </c>
    </row>
    <row r="108" spans="1:8" x14ac:dyDescent="0.25">
      <c r="A108" s="27" t="s">
        <v>12</v>
      </c>
      <c r="B108" s="27" t="s">
        <v>12</v>
      </c>
    </row>
    <row r="109" spans="1:8" x14ac:dyDescent="0.25">
      <c r="A109" s="28" t="s">
        <v>173</v>
      </c>
      <c r="B109" s="28" t="s">
        <v>174</v>
      </c>
      <c r="C109" s="76"/>
      <c r="D109" s="76"/>
      <c r="E109" s="76"/>
      <c r="F109" s="76"/>
      <c r="G109" s="76"/>
      <c r="H109" s="73"/>
    </row>
    <row r="110" spans="1:8" x14ac:dyDescent="0.25">
      <c r="A110" s="27" t="s">
        <v>175</v>
      </c>
      <c r="B110" s="27" t="s">
        <v>174</v>
      </c>
      <c r="C110" s="75">
        <v>-860373.52</v>
      </c>
      <c r="D110" s="75">
        <v>-1776566.64</v>
      </c>
      <c r="E110" s="75">
        <v>51.57</v>
      </c>
      <c r="F110" s="75">
        <v>48.43</v>
      </c>
      <c r="G110" s="75">
        <v>-916193.12</v>
      </c>
      <c r="H110" s="56">
        <v>-1636851.93</v>
      </c>
    </row>
    <row r="111" spans="1:8" x14ac:dyDescent="0.25">
      <c r="A111" s="27" t="s">
        <v>176</v>
      </c>
      <c r="B111" s="27" t="s">
        <v>177</v>
      </c>
    </row>
    <row r="112" spans="1:8" x14ac:dyDescent="0.25">
      <c r="A112" s="28" t="s">
        <v>178</v>
      </c>
      <c r="B112" s="28" t="s">
        <v>179</v>
      </c>
      <c r="C112" s="76">
        <v>-860373.52</v>
      </c>
      <c r="D112" s="76">
        <v>-1776566.64</v>
      </c>
      <c r="E112" s="76">
        <v>51.57</v>
      </c>
      <c r="F112" s="76">
        <v>48.43</v>
      </c>
      <c r="G112" s="76">
        <v>-916193.12</v>
      </c>
      <c r="H112" s="73">
        <f>H110+H111</f>
        <v>-1636851.93</v>
      </c>
    </row>
    <row r="113" spans="1:8" x14ac:dyDescent="0.25">
      <c r="A113" s="27" t="s">
        <v>12</v>
      </c>
      <c r="B113" s="27" t="s">
        <v>12</v>
      </c>
    </row>
    <row r="114" spans="1:8" x14ac:dyDescent="0.25">
      <c r="A114" s="28" t="s">
        <v>180</v>
      </c>
      <c r="B114" s="28" t="s">
        <v>181</v>
      </c>
      <c r="C114" s="76"/>
      <c r="D114" s="76"/>
      <c r="E114" s="76"/>
      <c r="F114" s="76"/>
      <c r="G114" s="76"/>
      <c r="H114" s="73"/>
    </row>
    <row r="115" spans="1:8" x14ac:dyDescent="0.25">
      <c r="A115" s="27" t="s">
        <v>182</v>
      </c>
      <c r="B115" s="27" t="s">
        <v>183</v>
      </c>
      <c r="C115" s="75">
        <v>150736.16</v>
      </c>
      <c r="D115" s="75">
        <v>362933</v>
      </c>
      <c r="E115" s="75">
        <v>58.47</v>
      </c>
      <c r="F115" s="75">
        <v>41.53</v>
      </c>
      <c r="G115" s="75">
        <v>212196.84</v>
      </c>
      <c r="H115" s="56">
        <f>C115*2</f>
        <v>301472.32</v>
      </c>
    </row>
    <row r="116" spans="1:8" x14ac:dyDescent="0.25">
      <c r="A116" s="27" t="s">
        <v>184</v>
      </c>
      <c r="B116" s="27" t="s">
        <v>185</v>
      </c>
      <c r="C116" s="75">
        <v>59872</v>
      </c>
      <c r="G116" s="75">
        <v>-59872</v>
      </c>
      <c r="H116" s="56">
        <f>C116</f>
        <v>59872</v>
      </c>
    </row>
    <row r="117" spans="1:8" x14ac:dyDescent="0.25">
      <c r="A117" s="27" t="s">
        <v>186</v>
      </c>
      <c r="B117" s="27" t="s">
        <v>187</v>
      </c>
    </row>
    <row r="118" spans="1:8" x14ac:dyDescent="0.25">
      <c r="A118" s="27" t="s">
        <v>188</v>
      </c>
      <c r="B118" s="27" t="s">
        <v>189</v>
      </c>
    </row>
    <row r="119" spans="1:8" x14ac:dyDescent="0.25">
      <c r="A119" s="27" t="s">
        <v>190</v>
      </c>
      <c r="B119" s="27" t="s">
        <v>191</v>
      </c>
    </row>
    <row r="120" spans="1:8" x14ac:dyDescent="0.25">
      <c r="A120" s="27" t="s">
        <v>192</v>
      </c>
      <c r="B120" s="27" t="s">
        <v>193</v>
      </c>
    </row>
    <row r="121" spans="1:8" x14ac:dyDescent="0.25">
      <c r="A121" s="27" t="s">
        <v>194</v>
      </c>
      <c r="B121" s="27" t="s">
        <v>195</v>
      </c>
    </row>
    <row r="122" spans="1:8" x14ac:dyDescent="0.25">
      <c r="A122" s="28" t="s">
        <v>196</v>
      </c>
      <c r="B122" s="28" t="s">
        <v>197</v>
      </c>
      <c r="C122" s="76">
        <v>210608.16</v>
      </c>
      <c r="D122" s="76">
        <v>362933</v>
      </c>
      <c r="E122" s="76">
        <v>41.97</v>
      </c>
      <c r="F122" s="76">
        <v>58.03</v>
      </c>
      <c r="G122" s="76">
        <v>152324.84</v>
      </c>
      <c r="H122" s="73">
        <f>SUM(H115:H121)</f>
        <v>361344.32</v>
      </c>
    </row>
    <row r="123" spans="1:8" x14ac:dyDescent="0.25">
      <c r="A123" s="28" t="s">
        <v>198</v>
      </c>
      <c r="B123" s="28" t="s">
        <v>199</v>
      </c>
      <c r="C123" s="76">
        <v>-5627465.7999999998</v>
      </c>
      <c r="D123" s="76">
        <v>-10211011</v>
      </c>
      <c r="E123" s="76">
        <v>44.89</v>
      </c>
      <c r="F123" s="76">
        <v>55.11</v>
      </c>
      <c r="G123" s="76">
        <v>-4583545.2</v>
      </c>
      <c r="H123" s="73">
        <f>H122+H112+H107</f>
        <v>-8938567.5999999996</v>
      </c>
    </row>
    <row r="124" spans="1:8" x14ac:dyDescent="0.25">
      <c r="A124" s="27" t="s">
        <v>12</v>
      </c>
      <c r="B124" s="27" t="s">
        <v>12</v>
      </c>
    </row>
    <row r="125" spans="1:8" x14ac:dyDescent="0.25">
      <c r="A125" s="28" t="s">
        <v>200</v>
      </c>
      <c r="B125" s="28" t="s">
        <v>201</v>
      </c>
      <c r="C125" s="76">
        <v>-5716393.1299999999</v>
      </c>
      <c r="D125" s="76">
        <v>-10520157</v>
      </c>
      <c r="E125" s="76">
        <v>45.66</v>
      </c>
      <c r="F125" s="76">
        <v>54.34</v>
      </c>
      <c r="G125" s="76">
        <v>-4803763.87</v>
      </c>
      <c r="H125" s="73">
        <f>H123+H82+H77</f>
        <v>-9251894.5999999996</v>
      </c>
    </row>
    <row r="126" spans="1:8" x14ac:dyDescent="0.25">
      <c r="A126" s="27" t="s">
        <v>12</v>
      </c>
      <c r="B126" s="27" t="s">
        <v>12</v>
      </c>
    </row>
    <row r="127" spans="1:8" x14ac:dyDescent="0.25">
      <c r="A127" s="28" t="s">
        <v>202</v>
      </c>
      <c r="B127" s="28" t="s">
        <v>203</v>
      </c>
      <c r="C127" s="76">
        <v>-138154.18</v>
      </c>
      <c r="D127" s="76">
        <v>2223263.2999999998</v>
      </c>
      <c r="E127" s="76">
        <v>106.21</v>
      </c>
      <c r="F127" s="76">
        <v>-6.21</v>
      </c>
      <c r="G127" s="76">
        <v>2361417.48</v>
      </c>
      <c r="H127" s="73">
        <f>H125+H65</f>
        <v>2058199.7622131202</v>
      </c>
    </row>
    <row r="128" spans="1:8" x14ac:dyDescent="0.25">
      <c r="A128" s="27" t="s">
        <v>12</v>
      </c>
      <c r="B128" s="27" t="s">
        <v>12</v>
      </c>
    </row>
    <row r="129" spans="1:8" x14ac:dyDescent="0.25">
      <c r="A129" s="28" t="s">
        <v>204</v>
      </c>
      <c r="B129" s="28" t="s">
        <v>205</v>
      </c>
      <c r="C129" s="76"/>
      <c r="D129" s="76"/>
      <c r="E129" s="76"/>
      <c r="F129" s="76"/>
      <c r="G129" s="76"/>
      <c r="H129" s="73"/>
    </row>
    <row r="130" spans="1:8" x14ac:dyDescent="0.25">
      <c r="A130" s="27" t="s">
        <v>206</v>
      </c>
      <c r="B130" s="27" t="s">
        <v>207</v>
      </c>
      <c r="C130" s="75">
        <v>10395</v>
      </c>
      <c r="D130" s="75">
        <v>103200</v>
      </c>
      <c r="E130" s="75">
        <v>89.93</v>
      </c>
      <c r="F130" s="75">
        <v>10.07</v>
      </c>
      <c r="G130" s="75">
        <v>92805</v>
      </c>
      <c r="H130" s="56">
        <v>103200</v>
      </c>
    </row>
    <row r="131" spans="1:8" x14ac:dyDescent="0.25">
      <c r="A131" s="27" t="s">
        <v>208</v>
      </c>
      <c r="B131" s="27" t="s">
        <v>209</v>
      </c>
      <c r="C131" s="75">
        <v>6575.62</v>
      </c>
      <c r="G131" s="75">
        <v>-6575.62</v>
      </c>
      <c r="H131" s="56">
        <v>6575.62</v>
      </c>
    </row>
    <row r="132" spans="1:8" x14ac:dyDescent="0.25">
      <c r="A132" s="27" t="s">
        <v>210</v>
      </c>
      <c r="B132" s="27" t="s">
        <v>211</v>
      </c>
    </row>
    <row r="133" spans="1:8" x14ac:dyDescent="0.25">
      <c r="A133" s="27" t="s">
        <v>212</v>
      </c>
      <c r="B133" s="27" t="s">
        <v>213</v>
      </c>
    </row>
    <row r="134" spans="1:8" x14ac:dyDescent="0.25">
      <c r="A134" s="27" t="s">
        <v>214</v>
      </c>
      <c r="B134" s="27" t="s">
        <v>215</v>
      </c>
    </row>
    <row r="135" spans="1:8" x14ac:dyDescent="0.25">
      <c r="A135" s="27" t="s">
        <v>216</v>
      </c>
      <c r="B135" s="27" t="s">
        <v>217</v>
      </c>
      <c r="C135" s="75">
        <v>15000</v>
      </c>
      <c r="G135" s="75">
        <v>-15000</v>
      </c>
      <c r="H135" s="56">
        <f>C135</f>
        <v>15000</v>
      </c>
    </row>
    <row r="136" spans="1:8" x14ac:dyDescent="0.25">
      <c r="A136" s="28" t="s">
        <v>218</v>
      </c>
      <c r="B136" s="28" t="s">
        <v>219</v>
      </c>
      <c r="C136" s="76">
        <v>31970.62</v>
      </c>
      <c r="D136" s="76">
        <v>103200</v>
      </c>
      <c r="E136" s="76">
        <v>69.02</v>
      </c>
      <c r="F136" s="76">
        <v>30.98</v>
      </c>
      <c r="G136" s="76">
        <v>71229.38</v>
      </c>
      <c r="H136" s="73">
        <f>SUM(H130:H135)</f>
        <v>124775.62</v>
      </c>
    </row>
    <row r="137" spans="1:8" x14ac:dyDescent="0.25">
      <c r="A137" s="27" t="s">
        <v>12</v>
      </c>
      <c r="B137" s="27" t="s">
        <v>12</v>
      </c>
    </row>
    <row r="138" spans="1:8" x14ac:dyDescent="0.25">
      <c r="A138" s="28" t="s">
        <v>220</v>
      </c>
      <c r="B138" s="28" t="s">
        <v>221</v>
      </c>
      <c r="C138" s="76"/>
      <c r="D138" s="76"/>
      <c r="E138" s="76"/>
      <c r="F138" s="76"/>
      <c r="G138" s="76"/>
      <c r="H138" s="73"/>
    </row>
    <row r="139" spans="1:8" x14ac:dyDescent="0.25">
      <c r="A139" s="27" t="s">
        <v>222</v>
      </c>
      <c r="B139" s="27" t="s">
        <v>223</v>
      </c>
    </row>
    <row r="140" spans="1:8" x14ac:dyDescent="0.25">
      <c r="A140" s="27" t="s">
        <v>224</v>
      </c>
      <c r="B140" s="27" t="s">
        <v>225</v>
      </c>
    </row>
    <row r="141" spans="1:8" x14ac:dyDescent="0.25">
      <c r="A141" s="27" t="s">
        <v>226</v>
      </c>
      <c r="B141" s="27" t="s">
        <v>227</v>
      </c>
      <c r="C141" s="75">
        <v>-544230.37</v>
      </c>
      <c r="D141" s="75">
        <v>-549678.44999999995</v>
      </c>
      <c r="E141" s="75">
        <v>0.99</v>
      </c>
      <c r="F141" s="75">
        <v>99.01</v>
      </c>
      <c r="G141" s="75">
        <v>-5448.08</v>
      </c>
      <c r="H141" s="56">
        <f>'Fælles adm.'!H142*-1*0.15</f>
        <v>-1496131.4909999997</v>
      </c>
    </row>
    <row r="142" spans="1:8" x14ac:dyDescent="0.25">
      <c r="A142" s="27" t="s">
        <v>228</v>
      </c>
      <c r="B142" s="27" t="s">
        <v>229</v>
      </c>
    </row>
    <row r="143" spans="1:8" x14ac:dyDescent="0.25">
      <c r="A143" s="27" t="s">
        <v>230</v>
      </c>
      <c r="B143" s="27" t="s">
        <v>231</v>
      </c>
    </row>
    <row r="144" spans="1:8" x14ac:dyDescent="0.25">
      <c r="A144" s="27" t="s">
        <v>232</v>
      </c>
      <c r="B144" s="27" t="s">
        <v>233</v>
      </c>
      <c r="C144" s="75">
        <v>-381.68</v>
      </c>
      <c r="D144" s="75">
        <v>-42000</v>
      </c>
      <c r="E144" s="75">
        <v>99.09</v>
      </c>
      <c r="F144" s="75">
        <v>0.91</v>
      </c>
      <c r="G144" s="75">
        <v>-41618.32</v>
      </c>
      <c r="H144" s="56">
        <v>-42000</v>
      </c>
    </row>
    <row r="145" spans="1:8" x14ac:dyDescent="0.25">
      <c r="A145" s="27" t="s">
        <v>234</v>
      </c>
      <c r="B145" s="27" t="s">
        <v>235</v>
      </c>
      <c r="D145" s="75">
        <v>-5000</v>
      </c>
      <c r="E145" s="75">
        <v>100</v>
      </c>
      <c r="G145" s="75">
        <v>-5000</v>
      </c>
      <c r="H145" s="56">
        <v>-5000</v>
      </c>
    </row>
    <row r="146" spans="1:8" x14ac:dyDescent="0.25">
      <c r="A146" s="27" t="s">
        <v>236</v>
      </c>
      <c r="B146" s="27" t="s">
        <v>237</v>
      </c>
      <c r="D146" s="75">
        <v>-10000</v>
      </c>
      <c r="E146" s="75">
        <v>100</v>
      </c>
      <c r="G146" s="75">
        <v>-10000</v>
      </c>
      <c r="H146" s="56">
        <v>-10000</v>
      </c>
    </row>
    <row r="147" spans="1:8" x14ac:dyDescent="0.25">
      <c r="A147" s="27" t="s">
        <v>238</v>
      </c>
      <c r="B147" s="27" t="s">
        <v>239</v>
      </c>
      <c r="C147" s="75">
        <v>-356</v>
      </c>
      <c r="D147" s="75">
        <v>-2000</v>
      </c>
      <c r="E147" s="75">
        <v>82.2</v>
      </c>
      <c r="F147" s="75">
        <v>17.8</v>
      </c>
      <c r="G147" s="75">
        <v>-1644</v>
      </c>
      <c r="H147" s="56">
        <v>-2000</v>
      </c>
    </row>
    <row r="148" spans="1:8" x14ac:dyDescent="0.25">
      <c r="A148" s="27" t="s">
        <v>240</v>
      </c>
      <c r="B148" s="27" t="s">
        <v>241</v>
      </c>
      <c r="C148" s="75">
        <v>-64361.79</v>
      </c>
      <c r="G148" s="75">
        <v>64361.79</v>
      </c>
      <c r="H148" s="56">
        <f>C148</f>
        <v>-64361.79</v>
      </c>
    </row>
    <row r="149" spans="1:8" x14ac:dyDescent="0.25">
      <c r="A149" s="27" t="s">
        <v>242</v>
      </c>
      <c r="B149" s="27" t="s">
        <v>243</v>
      </c>
      <c r="C149" s="75">
        <v>-665.08</v>
      </c>
      <c r="D149" s="75">
        <v>-25000</v>
      </c>
      <c r="E149" s="75">
        <v>97.34</v>
      </c>
      <c r="F149" s="75">
        <v>2.66</v>
      </c>
      <c r="G149" s="75">
        <v>-24334.92</v>
      </c>
      <c r="H149" s="56">
        <v>-25000</v>
      </c>
    </row>
    <row r="150" spans="1:8" x14ac:dyDescent="0.25">
      <c r="A150" s="27" t="s">
        <v>244</v>
      </c>
      <c r="B150" s="27" t="s">
        <v>245</v>
      </c>
      <c r="C150" s="75">
        <v>-5306.5</v>
      </c>
      <c r="D150" s="75">
        <v>-70000</v>
      </c>
      <c r="E150" s="75">
        <v>92.42</v>
      </c>
      <c r="F150" s="75">
        <v>7.58</v>
      </c>
      <c r="G150" s="75">
        <v>-64693.5</v>
      </c>
      <c r="H150" s="56">
        <v>-70000</v>
      </c>
    </row>
    <row r="151" spans="1:8" x14ac:dyDescent="0.25">
      <c r="A151" s="27" t="s">
        <v>246</v>
      </c>
      <c r="B151" s="27" t="s">
        <v>247</v>
      </c>
      <c r="C151" s="75">
        <v>-2391.4499999999998</v>
      </c>
      <c r="D151" s="75">
        <v>-763000</v>
      </c>
      <c r="E151" s="75">
        <v>99.69</v>
      </c>
      <c r="F151" s="75">
        <v>0.31</v>
      </c>
      <c r="G151" s="75">
        <v>-760608.55</v>
      </c>
      <c r="H151" s="56">
        <f>-763000+715000+48000</f>
        <v>0</v>
      </c>
    </row>
    <row r="152" spans="1:8" x14ac:dyDescent="0.25">
      <c r="A152" s="27" t="s">
        <v>248</v>
      </c>
      <c r="B152" s="27" t="s">
        <v>249</v>
      </c>
      <c r="C152" s="75">
        <v>-4194.8100000000004</v>
      </c>
      <c r="D152" s="75">
        <v>-50000</v>
      </c>
      <c r="E152" s="75">
        <v>91.61</v>
      </c>
      <c r="F152" s="75">
        <v>8.39</v>
      </c>
      <c r="G152" s="75">
        <v>-45805.19</v>
      </c>
      <c r="H152" s="56">
        <v>-50000</v>
      </c>
    </row>
    <row r="153" spans="1:8" x14ac:dyDescent="0.25">
      <c r="A153" s="27" t="s">
        <v>250</v>
      </c>
      <c r="B153" s="27" t="s">
        <v>251</v>
      </c>
    </row>
    <row r="154" spans="1:8" x14ac:dyDescent="0.25">
      <c r="A154" s="27" t="s">
        <v>252</v>
      </c>
      <c r="B154" s="27" t="s">
        <v>253</v>
      </c>
      <c r="C154" s="75">
        <v>-410.4</v>
      </c>
      <c r="G154" s="75">
        <v>410.4</v>
      </c>
      <c r="H154" s="56">
        <v>-410.4</v>
      </c>
    </row>
    <row r="155" spans="1:8" x14ac:dyDescent="0.25">
      <c r="A155" s="27" t="s">
        <v>254</v>
      </c>
      <c r="B155" s="27" t="s">
        <v>255</v>
      </c>
      <c r="C155" s="75">
        <v>-32775.19</v>
      </c>
      <c r="D155" s="75">
        <v>-50000</v>
      </c>
      <c r="E155" s="75">
        <v>34.450000000000003</v>
      </c>
      <c r="F155" s="75">
        <v>65.55</v>
      </c>
      <c r="G155" s="75">
        <v>-17224.810000000001</v>
      </c>
      <c r="H155" s="56">
        <v>-50000</v>
      </c>
    </row>
    <row r="156" spans="1:8" x14ac:dyDescent="0.25">
      <c r="A156" s="27" t="s">
        <v>256</v>
      </c>
      <c r="B156" s="27" t="s">
        <v>257</v>
      </c>
      <c r="D156" s="75">
        <v>-10266.67</v>
      </c>
      <c r="E156" s="75">
        <v>100</v>
      </c>
      <c r="G156" s="75">
        <v>-10266.67</v>
      </c>
      <c r="H156" s="56">
        <v>-10266.67</v>
      </c>
    </row>
    <row r="157" spans="1:8" x14ac:dyDescent="0.25">
      <c r="A157" s="27" t="s">
        <v>258</v>
      </c>
      <c r="B157" s="27" t="s">
        <v>259</v>
      </c>
    </row>
    <row r="158" spans="1:8" x14ac:dyDescent="0.25">
      <c r="A158" s="27" t="s">
        <v>260</v>
      </c>
      <c r="B158" s="27" t="s">
        <v>261</v>
      </c>
      <c r="D158" s="75">
        <v>-203852</v>
      </c>
      <c r="E158" s="75">
        <v>100</v>
      </c>
      <c r="G158" s="75">
        <v>-203852</v>
      </c>
      <c r="H158" s="56">
        <v>0</v>
      </c>
    </row>
    <row r="159" spans="1:8" x14ac:dyDescent="0.25">
      <c r="A159" s="27" t="s">
        <v>262</v>
      </c>
      <c r="B159" s="27" t="s">
        <v>263</v>
      </c>
      <c r="C159" s="75">
        <v>-21490.6</v>
      </c>
      <c r="D159" s="75">
        <v>-200000</v>
      </c>
      <c r="E159" s="75">
        <v>89.25</v>
      </c>
      <c r="F159" s="75">
        <v>10.75</v>
      </c>
      <c r="G159" s="75">
        <v>-178509.4</v>
      </c>
      <c r="H159" s="56">
        <v>-200000</v>
      </c>
    </row>
    <row r="160" spans="1:8" x14ac:dyDescent="0.25">
      <c r="A160" s="27" t="s">
        <v>264</v>
      </c>
      <c r="B160" s="27" t="s">
        <v>265</v>
      </c>
    </row>
    <row r="161" spans="1:8" x14ac:dyDescent="0.25">
      <c r="A161" s="27" t="s">
        <v>266</v>
      </c>
      <c r="B161" s="27" t="s">
        <v>267</v>
      </c>
    </row>
    <row r="162" spans="1:8" x14ac:dyDescent="0.25">
      <c r="A162" s="27" t="s">
        <v>268</v>
      </c>
      <c r="B162" s="27" t="s">
        <v>269</v>
      </c>
      <c r="C162" s="75">
        <v>-27596.46</v>
      </c>
      <c r="D162" s="75">
        <v>-200000</v>
      </c>
      <c r="E162" s="75">
        <v>86.2</v>
      </c>
      <c r="F162" s="75">
        <v>13.8</v>
      </c>
      <c r="G162" s="75">
        <v>-172403.54</v>
      </c>
      <c r="H162" s="56">
        <f>C162*2</f>
        <v>-55192.92</v>
      </c>
    </row>
    <row r="163" spans="1:8" x14ac:dyDescent="0.25">
      <c r="A163" s="27" t="s">
        <v>270</v>
      </c>
      <c r="B163" s="27" t="s">
        <v>271</v>
      </c>
      <c r="C163" s="75">
        <v>-42737.919999999998</v>
      </c>
      <c r="D163" s="75">
        <v>-150000</v>
      </c>
      <c r="E163" s="75">
        <v>71.510000000000005</v>
      </c>
      <c r="F163" s="75">
        <v>28.49</v>
      </c>
      <c r="G163" s="75">
        <v>-107262.08</v>
      </c>
      <c r="H163" s="56">
        <f>C163*2</f>
        <v>-85475.839999999997</v>
      </c>
    </row>
    <row r="164" spans="1:8" x14ac:dyDescent="0.25">
      <c r="A164" s="27" t="s">
        <v>272</v>
      </c>
      <c r="B164" s="27" t="s">
        <v>273</v>
      </c>
      <c r="C164" s="75">
        <v>-17271.93</v>
      </c>
      <c r="D164" s="75">
        <v>-30000</v>
      </c>
      <c r="E164" s="75">
        <v>42.43</v>
      </c>
      <c r="F164" s="75">
        <v>57.57</v>
      </c>
      <c r="G164" s="75">
        <v>-12728.07</v>
      </c>
      <c r="H164" s="56">
        <f>C164*2</f>
        <v>-34543.86</v>
      </c>
    </row>
    <row r="165" spans="1:8" x14ac:dyDescent="0.25">
      <c r="A165" s="27" t="s">
        <v>274</v>
      </c>
      <c r="B165" s="27" t="s">
        <v>275</v>
      </c>
      <c r="C165" s="75">
        <v>-4377.71</v>
      </c>
      <c r="D165" s="75">
        <v>-18500</v>
      </c>
      <c r="E165" s="75">
        <v>76.34</v>
      </c>
      <c r="F165" s="75">
        <v>23.66</v>
      </c>
      <c r="G165" s="75">
        <v>-14122.29</v>
      </c>
      <c r="H165" s="56">
        <v>-18500</v>
      </c>
    </row>
    <row r="166" spans="1:8" x14ac:dyDescent="0.25">
      <c r="A166" s="27" t="s">
        <v>276</v>
      </c>
      <c r="B166" s="27" t="s">
        <v>277</v>
      </c>
      <c r="D166" s="75">
        <v>-4000</v>
      </c>
      <c r="E166" s="75">
        <v>100</v>
      </c>
      <c r="G166" s="75">
        <v>-4000</v>
      </c>
      <c r="H166" s="56">
        <v>-4000</v>
      </c>
    </row>
    <row r="167" spans="1:8" x14ac:dyDescent="0.25">
      <c r="A167" s="27" t="s">
        <v>278</v>
      </c>
      <c r="B167" s="27" t="s">
        <v>279</v>
      </c>
    </row>
    <row r="168" spans="1:8" x14ac:dyDescent="0.25">
      <c r="A168" s="27" t="s">
        <v>280</v>
      </c>
      <c r="B168" s="27" t="s">
        <v>281</v>
      </c>
      <c r="C168" s="75">
        <v>-74459.509999999995</v>
      </c>
      <c r="D168" s="75">
        <v>-50000</v>
      </c>
      <c r="E168" s="75">
        <v>-48.92</v>
      </c>
      <c r="F168" s="75">
        <v>148.91999999999999</v>
      </c>
      <c r="G168" s="75">
        <v>24459.51</v>
      </c>
      <c r="H168" s="56">
        <f>C168</f>
        <v>-74459.509999999995</v>
      </c>
    </row>
    <row r="169" spans="1:8" x14ac:dyDescent="0.25">
      <c r="A169" s="27" t="s">
        <v>282</v>
      </c>
      <c r="B169" s="27" t="s">
        <v>283</v>
      </c>
      <c r="C169" s="75">
        <v>-4919.1899999999996</v>
      </c>
      <c r="D169" s="75">
        <v>-60000</v>
      </c>
      <c r="E169" s="75">
        <v>91.8</v>
      </c>
      <c r="F169" s="75">
        <v>8.1999999999999993</v>
      </c>
      <c r="G169" s="75">
        <v>-55080.81</v>
      </c>
      <c r="H169" s="56">
        <v>-60000</v>
      </c>
    </row>
    <row r="170" spans="1:8" x14ac:dyDescent="0.25">
      <c r="A170" s="27" t="s">
        <v>284</v>
      </c>
      <c r="B170" s="27" t="s">
        <v>285</v>
      </c>
    </row>
    <row r="171" spans="1:8" x14ac:dyDescent="0.25">
      <c r="A171" s="27" t="s">
        <v>286</v>
      </c>
      <c r="B171" s="27" t="s">
        <v>287</v>
      </c>
    </row>
    <row r="172" spans="1:8" x14ac:dyDescent="0.25">
      <c r="A172" s="27" t="s">
        <v>288</v>
      </c>
      <c r="B172" s="27" t="s">
        <v>289</v>
      </c>
    </row>
    <row r="173" spans="1:8" x14ac:dyDescent="0.25">
      <c r="A173" s="27" t="s">
        <v>290</v>
      </c>
      <c r="B173" s="27" t="s">
        <v>291</v>
      </c>
      <c r="D173" s="75">
        <v>-20000</v>
      </c>
      <c r="E173" s="75">
        <v>100</v>
      </c>
      <c r="G173" s="75">
        <v>-20000</v>
      </c>
      <c r="H173" s="56">
        <v>-20000</v>
      </c>
    </row>
    <row r="174" spans="1:8" x14ac:dyDescent="0.25">
      <c r="A174" s="27" t="s">
        <v>292</v>
      </c>
      <c r="B174" s="27" t="s">
        <v>293</v>
      </c>
      <c r="C174" s="75">
        <v>-22784.799999999999</v>
      </c>
      <c r="D174" s="75">
        <v>-52800</v>
      </c>
      <c r="E174" s="75">
        <v>56.85</v>
      </c>
      <c r="F174" s="75">
        <v>43.15</v>
      </c>
      <c r="G174" s="75">
        <v>-30015.200000000001</v>
      </c>
      <c r="H174" s="56">
        <v>-52800</v>
      </c>
    </row>
    <row r="175" spans="1:8" x14ac:dyDescent="0.25">
      <c r="A175" s="27" t="s">
        <v>294</v>
      </c>
      <c r="B175" s="27" t="s">
        <v>295</v>
      </c>
      <c r="C175" s="75">
        <v>-11000</v>
      </c>
      <c r="G175" s="75">
        <v>11000</v>
      </c>
      <c r="H175" s="56">
        <v>-11000</v>
      </c>
    </row>
    <row r="176" spans="1:8" x14ac:dyDescent="0.25">
      <c r="A176" s="27" t="s">
        <v>296</v>
      </c>
      <c r="B176" s="27" t="s">
        <v>297</v>
      </c>
      <c r="C176" s="75">
        <v>-378.75</v>
      </c>
      <c r="D176" s="75">
        <v>-3000</v>
      </c>
      <c r="E176" s="75">
        <v>87.38</v>
      </c>
      <c r="F176" s="75">
        <v>12.63</v>
      </c>
      <c r="G176" s="75">
        <v>-2621.25</v>
      </c>
      <c r="H176" s="56">
        <v>-3000</v>
      </c>
    </row>
    <row r="177" spans="1:8" x14ac:dyDescent="0.25">
      <c r="A177" s="27" t="s">
        <v>298</v>
      </c>
      <c r="B177" s="27" t="s">
        <v>299</v>
      </c>
      <c r="C177" s="75">
        <v>-92569.98</v>
      </c>
      <c r="D177" s="75">
        <v>-350000</v>
      </c>
      <c r="E177" s="75">
        <v>73.55</v>
      </c>
      <c r="F177" s="75">
        <v>26.45</v>
      </c>
      <c r="G177" s="75">
        <v>-257430.02</v>
      </c>
      <c r="H177" s="56">
        <v>-350000</v>
      </c>
    </row>
    <row r="178" spans="1:8" x14ac:dyDescent="0.25">
      <c r="A178" s="27" t="s">
        <v>300</v>
      </c>
      <c r="B178" s="27" t="s">
        <v>301</v>
      </c>
      <c r="C178" s="75">
        <v>-5706</v>
      </c>
      <c r="D178" s="75">
        <v>-5000</v>
      </c>
      <c r="E178" s="75">
        <v>-14.12</v>
      </c>
      <c r="F178" s="75">
        <v>114.12</v>
      </c>
      <c r="G178" s="75">
        <v>706</v>
      </c>
      <c r="H178" s="56">
        <f>C178</f>
        <v>-5706</v>
      </c>
    </row>
    <row r="179" spans="1:8" x14ac:dyDescent="0.25">
      <c r="A179" s="27" t="s">
        <v>302</v>
      </c>
      <c r="B179" s="27" t="s">
        <v>303</v>
      </c>
      <c r="C179" s="75">
        <v>-1928</v>
      </c>
      <c r="D179" s="75">
        <v>-5000</v>
      </c>
      <c r="E179" s="75">
        <v>61.44</v>
      </c>
      <c r="F179" s="75">
        <v>38.56</v>
      </c>
      <c r="G179" s="75">
        <v>-3072</v>
      </c>
      <c r="H179" s="56">
        <v>-5000</v>
      </c>
    </row>
    <row r="180" spans="1:8" x14ac:dyDescent="0.25">
      <c r="A180" s="27" t="s">
        <v>304</v>
      </c>
      <c r="B180" s="27" t="s">
        <v>305</v>
      </c>
      <c r="D180" s="75">
        <v>-10000</v>
      </c>
      <c r="E180" s="75">
        <v>100</v>
      </c>
      <c r="G180" s="75">
        <v>-10000</v>
      </c>
      <c r="H180" s="56">
        <v>-5000</v>
      </c>
    </row>
    <row r="181" spans="1:8" x14ac:dyDescent="0.25">
      <c r="A181" s="27" t="s">
        <v>306</v>
      </c>
      <c r="B181" s="27" t="s">
        <v>307</v>
      </c>
      <c r="C181" s="75">
        <v>-3956.58</v>
      </c>
      <c r="D181" s="75">
        <v>-10000</v>
      </c>
      <c r="E181" s="75">
        <v>60.43</v>
      </c>
      <c r="F181" s="75">
        <v>39.57</v>
      </c>
      <c r="G181" s="75">
        <v>-6043.42</v>
      </c>
      <c r="H181" s="56">
        <v>-10000</v>
      </c>
    </row>
    <row r="182" spans="1:8" x14ac:dyDescent="0.25">
      <c r="A182" s="27" t="s">
        <v>308</v>
      </c>
      <c r="B182" s="27" t="s">
        <v>309</v>
      </c>
      <c r="C182" s="75">
        <v>-23741.78</v>
      </c>
      <c r="D182" s="75">
        <v>-50000</v>
      </c>
      <c r="E182" s="75">
        <v>52.52</v>
      </c>
      <c r="F182" s="75">
        <v>47.48</v>
      </c>
      <c r="G182" s="75">
        <v>-26258.22</v>
      </c>
      <c r="H182" s="56">
        <v>-50000</v>
      </c>
    </row>
    <row r="183" spans="1:8" x14ac:dyDescent="0.25">
      <c r="A183" s="27" t="s">
        <v>310</v>
      </c>
      <c r="B183" s="27" t="s">
        <v>311</v>
      </c>
    </row>
    <row r="184" spans="1:8" x14ac:dyDescent="0.25">
      <c r="A184" s="27" t="s">
        <v>312</v>
      </c>
      <c r="B184" s="27" t="s">
        <v>313</v>
      </c>
      <c r="C184" s="75">
        <v>-8552.7000000000007</v>
      </c>
      <c r="D184" s="75">
        <v>-51333.33</v>
      </c>
      <c r="E184" s="75">
        <v>83.34</v>
      </c>
      <c r="F184" s="75">
        <v>16.66</v>
      </c>
      <c r="G184" s="75">
        <v>-42780.63</v>
      </c>
      <c r="H184" s="56">
        <v>-51333.33</v>
      </c>
    </row>
    <row r="185" spans="1:8" x14ac:dyDescent="0.25">
      <c r="A185" s="27" t="s">
        <v>314</v>
      </c>
      <c r="B185" s="27" t="s">
        <v>315</v>
      </c>
      <c r="C185" s="75">
        <v>-11808.6</v>
      </c>
      <c r="D185" s="75">
        <v>-60000</v>
      </c>
      <c r="E185" s="75">
        <v>80.319999999999993</v>
      </c>
      <c r="F185" s="75">
        <v>19.68</v>
      </c>
      <c r="G185" s="75">
        <v>-48191.4</v>
      </c>
      <c r="H185" s="56">
        <v>-60000</v>
      </c>
    </row>
    <row r="186" spans="1:8" x14ac:dyDescent="0.25">
      <c r="A186" s="27" t="s">
        <v>316</v>
      </c>
      <c r="B186" s="27" t="s">
        <v>317</v>
      </c>
      <c r="C186" s="75">
        <v>-2351.9499999999998</v>
      </c>
      <c r="D186" s="75">
        <v>-15000</v>
      </c>
      <c r="E186" s="75">
        <v>84.32</v>
      </c>
      <c r="F186" s="75">
        <v>15.68</v>
      </c>
      <c r="G186" s="75">
        <v>-12648.05</v>
      </c>
      <c r="H186" s="56">
        <v>-15000</v>
      </c>
    </row>
    <row r="187" spans="1:8" x14ac:dyDescent="0.25">
      <c r="A187" s="27" t="s">
        <v>318</v>
      </c>
      <c r="B187" s="27" t="s">
        <v>319</v>
      </c>
      <c r="C187" s="75">
        <v>-33866.629999999997</v>
      </c>
      <c r="D187" s="75">
        <v>-120000</v>
      </c>
      <c r="E187" s="75">
        <v>71.78</v>
      </c>
      <c r="F187" s="75">
        <v>28.22</v>
      </c>
      <c r="G187" s="75">
        <v>-86133.37</v>
      </c>
      <c r="H187" s="56">
        <v>-120000</v>
      </c>
    </row>
    <row r="188" spans="1:8" x14ac:dyDescent="0.25">
      <c r="A188" s="27" t="s">
        <v>320</v>
      </c>
      <c r="B188" s="27" t="s">
        <v>321</v>
      </c>
      <c r="C188" s="75">
        <v>-345.08</v>
      </c>
      <c r="D188" s="75">
        <v>-41066.67</v>
      </c>
      <c r="E188" s="75">
        <v>99.16</v>
      </c>
      <c r="F188" s="75">
        <v>0.84</v>
      </c>
      <c r="G188" s="75">
        <v>-40721.589999999997</v>
      </c>
      <c r="H188" s="56">
        <v>-41066.67</v>
      </c>
    </row>
    <row r="189" spans="1:8" x14ac:dyDescent="0.25">
      <c r="A189" s="27" t="s">
        <v>322</v>
      </c>
      <c r="B189" s="27" t="s">
        <v>323</v>
      </c>
      <c r="C189" s="75">
        <v>-111838.85</v>
      </c>
      <c r="D189" s="75">
        <v>-425000</v>
      </c>
      <c r="E189" s="75">
        <v>73.680000000000007</v>
      </c>
      <c r="F189" s="75">
        <v>26.32</v>
      </c>
      <c r="G189" s="75">
        <v>-313161.15000000002</v>
      </c>
      <c r="H189" s="56">
        <v>-425000</v>
      </c>
    </row>
    <row r="190" spans="1:8" x14ac:dyDescent="0.25">
      <c r="A190" s="27" t="s">
        <v>324</v>
      </c>
      <c r="B190" s="27" t="s">
        <v>325</v>
      </c>
      <c r="C190" s="75">
        <v>-882</v>
      </c>
      <c r="G190" s="75">
        <v>882</v>
      </c>
      <c r="H190" s="56">
        <v>-882</v>
      </c>
    </row>
    <row r="191" spans="1:8" x14ac:dyDescent="0.25">
      <c r="A191" s="27" t="s">
        <v>326</v>
      </c>
      <c r="B191" s="27" t="s">
        <v>327</v>
      </c>
      <c r="C191" s="75">
        <v>-977</v>
      </c>
      <c r="G191" s="75">
        <v>977</v>
      </c>
      <c r="H191" s="56">
        <v>-977</v>
      </c>
    </row>
    <row r="192" spans="1:8" x14ac:dyDescent="0.25">
      <c r="A192" s="27" t="s">
        <v>328</v>
      </c>
      <c r="B192" s="27" t="s">
        <v>329</v>
      </c>
      <c r="D192" s="75">
        <v>-95000</v>
      </c>
      <c r="E192" s="75">
        <v>100</v>
      </c>
      <c r="G192" s="75">
        <v>-95000</v>
      </c>
      <c r="H192" s="56">
        <v>-95000</v>
      </c>
    </row>
    <row r="193" spans="1:8" x14ac:dyDescent="0.25">
      <c r="A193" s="27" t="s">
        <v>330</v>
      </c>
      <c r="B193" s="27" t="s">
        <v>331</v>
      </c>
      <c r="C193" s="75">
        <v>-27628.67</v>
      </c>
      <c r="D193" s="75">
        <v>-100000</v>
      </c>
      <c r="E193" s="75">
        <v>72.37</v>
      </c>
      <c r="F193" s="75">
        <v>27.63</v>
      </c>
      <c r="G193" s="75">
        <v>-72371.33</v>
      </c>
      <c r="H193" s="56">
        <v>-100000</v>
      </c>
    </row>
    <row r="194" spans="1:8" x14ac:dyDescent="0.25">
      <c r="A194" s="27" t="s">
        <v>332</v>
      </c>
      <c r="B194" s="27" t="s">
        <v>333</v>
      </c>
    </row>
    <row r="195" spans="1:8" x14ac:dyDescent="0.25">
      <c r="A195" s="27" t="s">
        <v>334</v>
      </c>
      <c r="B195" s="27" t="s">
        <v>335</v>
      </c>
    </row>
    <row r="196" spans="1:8" x14ac:dyDescent="0.25">
      <c r="A196" s="27" t="s">
        <v>336</v>
      </c>
      <c r="B196" s="27" t="s">
        <v>337</v>
      </c>
    </row>
    <row r="197" spans="1:8" x14ac:dyDescent="0.25">
      <c r="A197" s="27" t="s">
        <v>338</v>
      </c>
      <c r="B197" s="27" t="s">
        <v>339</v>
      </c>
    </row>
    <row r="198" spans="1:8" x14ac:dyDescent="0.25">
      <c r="A198" s="28" t="s">
        <v>340</v>
      </c>
      <c r="B198" s="28" t="s">
        <v>341</v>
      </c>
      <c r="C198" s="76">
        <v>-1208243.96</v>
      </c>
      <c r="D198" s="76">
        <v>-3906497.12</v>
      </c>
      <c r="E198" s="76">
        <v>69.069999999999993</v>
      </c>
      <c r="F198" s="76">
        <v>30.93</v>
      </c>
      <c r="G198" s="76">
        <v>-2698253.16</v>
      </c>
      <c r="H198" s="73">
        <f>SUM(H139:H197)</f>
        <v>-3779107.4809999992</v>
      </c>
    </row>
    <row r="199" spans="1:8" x14ac:dyDescent="0.25">
      <c r="A199" s="27" t="s">
        <v>12</v>
      </c>
      <c r="B199" s="27" t="s">
        <v>12</v>
      </c>
    </row>
    <row r="200" spans="1:8" x14ac:dyDescent="0.25">
      <c r="A200" s="28" t="s">
        <v>342</v>
      </c>
      <c r="B200" s="28" t="s">
        <v>343</v>
      </c>
      <c r="C200" s="76"/>
      <c r="D200" s="76"/>
      <c r="E200" s="76"/>
      <c r="F200" s="76"/>
      <c r="G200" s="76"/>
      <c r="H200" s="73"/>
    </row>
    <row r="201" spans="1:8" x14ac:dyDescent="0.25">
      <c r="A201" s="27" t="s">
        <v>344</v>
      </c>
      <c r="B201" s="27" t="s">
        <v>345</v>
      </c>
    </row>
    <row r="202" spans="1:8" x14ac:dyDescent="0.25">
      <c r="A202" s="27" t="s">
        <v>346</v>
      </c>
      <c r="B202" s="27" t="s">
        <v>347</v>
      </c>
    </row>
    <row r="203" spans="1:8" x14ac:dyDescent="0.25">
      <c r="A203" s="27" t="s">
        <v>348</v>
      </c>
      <c r="B203" s="27" t="s">
        <v>349</v>
      </c>
    </row>
    <row r="204" spans="1:8" x14ac:dyDescent="0.25">
      <c r="A204" s="27" t="s">
        <v>350</v>
      </c>
      <c r="B204" s="27" t="s">
        <v>351</v>
      </c>
    </row>
    <row r="205" spans="1:8" x14ac:dyDescent="0.25">
      <c r="A205" s="27" t="s">
        <v>352</v>
      </c>
      <c r="B205" s="27" t="s">
        <v>353</v>
      </c>
    </row>
    <row r="206" spans="1:8" x14ac:dyDescent="0.25">
      <c r="A206" s="27" t="s">
        <v>354</v>
      </c>
      <c r="B206" s="27" t="s">
        <v>355</v>
      </c>
    </row>
    <row r="207" spans="1:8" x14ac:dyDescent="0.25">
      <c r="A207" s="27" t="s">
        <v>356</v>
      </c>
      <c r="B207" s="27" t="s">
        <v>357</v>
      </c>
    </row>
    <row r="208" spans="1:8" x14ac:dyDescent="0.25">
      <c r="A208" s="27" t="s">
        <v>358</v>
      </c>
      <c r="B208" s="27" t="s">
        <v>359</v>
      </c>
    </row>
    <row r="209" spans="1:8" x14ac:dyDescent="0.25">
      <c r="A209" s="28" t="s">
        <v>360</v>
      </c>
      <c r="B209" s="28" t="s">
        <v>361</v>
      </c>
      <c r="C209" s="76"/>
      <c r="D209" s="76"/>
      <c r="E209" s="76"/>
      <c r="F209" s="76"/>
      <c r="G209" s="76"/>
      <c r="H209" s="73">
        <f>SUM(H201:H208)</f>
        <v>0</v>
      </c>
    </row>
    <row r="210" spans="1:8" x14ac:dyDescent="0.25">
      <c r="A210" s="27" t="s">
        <v>12</v>
      </c>
      <c r="B210" s="27" t="s">
        <v>12</v>
      </c>
    </row>
    <row r="211" spans="1:8" x14ac:dyDescent="0.25">
      <c r="A211" s="28" t="s">
        <v>362</v>
      </c>
      <c r="B211" s="28" t="s">
        <v>40</v>
      </c>
      <c r="C211" s="76"/>
      <c r="D211" s="76"/>
      <c r="E211" s="76"/>
      <c r="F211" s="76"/>
      <c r="G211" s="76"/>
      <c r="H211" s="73"/>
    </row>
    <row r="212" spans="1:8" x14ac:dyDescent="0.25">
      <c r="A212" s="27" t="s">
        <v>363</v>
      </c>
      <c r="B212" s="27" t="s">
        <v>364</v>
      </c>
    </row>
    <row r="213" spans="1:8" x14ac:dyDescent="0.25">
      <c r="A213" s="27" t="s">
        <v>365</v>
      </c>
      <c r="B213" s="27" t="s">
        <v>366</v>
      </c>
      <c r="C213" s="75">
        <v>-7383.48</v>
      </c>
      <c r="D213" s="75">
        <v>-33562</v>
      </c>
      <c r="E213" s="75">
        <v>78</v>
      </c>
      <c r="F213" s="75">
        <v>22</v>
      </c>
      <c r="G213" s="75">
        <v>-26178.52</v>
      </c>
      <c r="H213" s="56">
        <v>-33562</v>
      </c>
    </row>
    <row r="214" spans="1:8" x14ac:dyDescent="0.25">
      <c r="A214" s="27" t="s">
        <v>367</v>
      </c>
      <c r="B214" s="27" t="s">
        <v>368</v>
      </c>
    </row>
    <row r="215" spans="1:8" x14ac:dyDescent="0.25">
      <c r="A215" s="27" t="s">
        <v>369</v>
      </c>
      <c r="B215" s="27" t="s">
        <v>370</v>
      </c>
      <c r="C215" s="75">
        <v>-588.23</v>
      </c>
      <c r="G215" s="75">
        <v>588.23</v>
      </c>
      <c r="H215" s="56">
        <f>C215</f>
        <v>-588.23</v>
      </c>
    </row>
    <row r="216" spans="1:8" x14ac:dyDescent="0.25">
      <c r="A216" s="27" t="s">
        <v>371</v>
      </c>
      <c r="B216" s="27" t="s">
        <v>372</v>
      </c>
    </row>
    <row r="217" spans="1:8" x14ac:dyDescent="0.25">
      <c r="A217" s="27" t="s">
        <v>373</v>
      </c>
      <c r="B217" s="27" t="s">
        <v>374</v>
      </c>
    </row>
    <row r="218" spans="1:8" x14ac:dyDescent="0.25">
      <c r="A218" s="27" t="s">
        <v>375</v>
      </c>
      <c r="B218" s="27" t="s">
        <v>376</v>
      </c>
    </row>
    <row r="219" spans="1:8" x14ac:dyDescent="0.25">
      <c r="A219" s="28" t="s">
        <v>377</v>
      </c>
      <c r="B219" s="28" t="s">
        <v>378</v>
      </c>
      <c r="C219" s="76">
        <v>-7971.71</v>
      </c>
      <c r="D219" s="76">
        <v>-33562</v>
      </c>
      <c r="E219" s="76">
        <v>76.25</v>
      </c>
      <c r="F219" s="76">
        <v>23.75</v>
      </c>
      <c r="G219" s="76">
        <v>-25590.29</v>
      </c>
      <c r="H219" s="73">
        <f>SUM(H212:H218)</f>
        <v>-34150.230000000003</v>
      </c>
    </row>
    <row r="220" spans="1:8" x14ac:dyDescent="0.25">
      <c r="A220" s="27" t="s">
        <v>12</v>
      </c>
      <c r="B220" s="27" t="s">
        <v>12</v>
      </c>
    </row>
    <row r="221" spans="1:8" x14ac:dyDescent="0.25">
      <c r="A221" s="28" t="s">
        <v>379</v>
      </c>
      <c r="B221" s="28" t="s">
        <v>380</v>
      </c>
      <c r="C221" s="76"/>
      <c r="D221" s="76"/>
      <c r="E221" s="76"/>
      <c r="F221" s="76"/>
      <c r="G221" s="76"/>
      <c r="H221" s="73"/>
    </row>
    <row r="222" spans="1:8" x14ac:dyDescent="0.25">
      <c r="A222" s="27" t="s">
        <v>381</v>
      </c>
      <c r="B222" s="27" t="s">
        <v>380</v>
      </c>
    </row>
    <row r="223" spans="1:8" x14ac:dyDescent="0.25">
      <c r="A223" s="28" t="s">
        <v>382</v>
      </c>
      <c r="B223" s="28" t="s">
        <v>383</v>
      </c>
      <c r="C223" s="76"/>
      <c r="D223" s="76"/>
      <c r="E223" s="76"/>
      <c r="F223" s="76"/>
      <c r="G223" s="76"/>
      <c r="H223" s="73">
        <f>H222</f>
        <v>0</v>
      </c>
    </row>
    <row r="224" spans="1:8" x14ac:dyDescent="0.25">
      <c r="A224" s="27" t="s">
        <v>12</v>
      </c>
      <c r="B224" s="27" t="s">
        <v>12</v>
      </c>
    </row>
    <row r="225" spans="1:8" x14ac:dyDescent="0.25">
      <c r="A225" s="28" t="s">
        <v>384</v>
      </c>
      <c r="B225" s="28" t="s">
        <v>385</v>
      </c>
      <c r="C225" s="76"/>
      <c r="D225" s="76"/>
      <c r="E225" s="76"/>
      <c r="F225" s="76"/>
      <c r="G225" s="76"/>
      <c r="H225" s="73"/>
    </row>
    <row r="226" spans="1:8" x14ac:dyDescent="0.25">
      <c r="A226" s="27" t="s">
        <v>386</v>
      </c>
      <c r="B226" s="27" t="s">
        <v>385</v>
      </c>
    </row>
    <row r="227" spans="1:8" x14ac:dyDescent="0.25">
      <c r="A227" s="28" t="s">
        <v>387</v>
      </c>
      <c r="B227" s="28" t="s">
        <v>388</v>
      </c>
      <c r="C227" s="76"/>
      <c r="D227" s="76"/>
      <c r="E227" s="76"/>
      <c r="F227" s="76"/>
      <c r="G227" s="76"/>
      <c r="H227" s="73">
        <f>H226</f>
        <v>0</v>
      </c>
    </row>
    <row r="228" spans="1:8" x14ac:dyDescent="0.25">
      <c r="A228" s="27" t="s">
        <v>12</v>
      </c>
      <c r="B228" s="27" t="s">
        <v>12</v>
      </c>
    </row>
    <row r="229" spans="1:8" ht="15.75" thickBot="1" x14ac:dyDescent="0.3">
      <c r="A229" s="29" t="s">
        <v>389</v>
      </c>
      <c r="B229" s="29" t="s">
        <v>390</v>
      </c>
      <c r="C229" s="77">
        <v>-1322399.23</v>
      </c>
      <c r="D229" s="77">
        <v>-1613595.82</v>
      </c>
      <c r="E229" s="77">
        <v>18.05</v>
      </c>
      <c r="F229" s="77">
        <v>81.95</v>
      </c>
      <c r="G229" s="77">
        <v>-291196.59000000003</v>
      </c>
      <c r="H229" s="74">
        <f>H219+H209+H223+H227+H198+H136+H127</f>
        <v>-1630282.3287868788</v>
      </c>
    </row>
    <row r="230" spans="1:8" ht="15.75" thickTop="1" x14ac:dyDescent="0.25">
      <c r="A230" s="27" t="s">
        <v>12</v>
      </c>
      <c r="B230" s="27" t="s">
        <v>12</v>
      </c>
    </row>
    <row r="231" spans="1:8" x14ac:dyDescent="0.25">
      <c r="A231" s="28" t="s">
        <v>391</v>
      </c>
      <c r="B231" s="28" t="s">
        <v>392</v>
      </c>
      <c r="C231" s="76"/>
      <c r="D231" s="76"/>
      <c r="E231" s="76"/>
      <c r="F231" s="76"/>
      <c r="G231" s="76"/>
      <c r="H231" s="73"/>
    </row>
    <row r="232" spans="1:8" x14ac:dyDescent="0.25">
      <c r="A232" s="27" t="s">
        <v>393</v>
      </c>
      <c r="B232" s="27" t="s">
        <v>394</v>
      </c>
    </row>
    <row r="233" spans="1:8" x14ac:dyDescent="0.25">
      <c r="A233" s="27" t="s">
        <v>395</v>
      </c>
      <c r="B233" s="27" t="s">
        <v>396</v>
      </c>
    </row>
    <row r="234" spans="1:8" x14ac:dyDescent="0.25">
      <c r="A234" s="27" t="s">
        <v>397</v>
      </c>
      <c r="B234" s="27" t="s">
        <v>398</v>
      </c>
    </row>
    <row r="235" spans="1:8" x14ac:dyDescent="0.25">
      <c r="A235" s="28" t="s">
        <v>399</v>
      </c>
      <c r="B235" s="28" t="s">
        <v>400</v>
      </c>
      <c r="C235" s="76"/>
      <c r="D235" s="76"/>
      <c r="E235" s="76"/>
      <c r="F235" s="76"/>
      <c r="G235" s="76"/>
      <c r="H235" s="73">
        <f>SUM(H232:H234)</f>
        <v>0</v>
      </c>
    </row>
    <row r="236" spans="1:8" x14ac:dyDescent="0.25">
      <c r="A236" s="27" t="s">
        <v>12</v>
      </c>
      <c r="B236" s="27" t="s">
        <v>12</v>
      </c>
    </row>
    <row r="237" spans="1:8" ht="15.75" thickBot="1" x14ac:dyDescent="0.3">
      <c r="A237" s="29" t="s">
        <v>12</v>
      </c>
      <c r="B237" s="29" t="s">
        <v>46</v>
      </c>
      <c r="C237" s="77">
        <v>-1322399.23</v>
      </c>
      <c r="D237" s="77">
        <v>-1613595.82</v>
      </c>
      <c r="E237" s="77">
        <v>18.05</v>
      </c>
      <c r="F237" s="77">
        <v>81.95</v>
      </c>
      <c r="G237" s="77">
        <v>-291196.59000000003</v>
      </c>
      <c r="H237" s="74">
        <f>H229+H235</f>
        <v>-1630282.3287868788</v>
      </c>
    </row>
    <row r="238" spans="1:8" ht="15.75" thickTop="1" x14ac:dyDescent="0.25">
      <c r="A238" s="27" t="s">
        <v>12</v>
      </c>
      <c r="B238" s="27" t="s">
        <v>12</v>
      </c>
    </row>
    <row r="239" spans="1:8" x14ac:dyDescent="0.25">
      <c r="A239" s="27" t="s">
        <v>401</v>
      </c>
      <c r="B239" s="27" t="s">
        <v>402</v>
      </c>
    </row>
    <row r="240" spans="1:8" x14ac:dyDescent="0.25">
      <c r="A240" s="27" t="s">
        <v>403</v>
      </c>
      <c r="B240" s="27" t="s">
        <v>404</v>
      </c>
    </row>
    <row r="241" spans="1:8" x14ac:dyDescent="0.25">
      <c r="A241" s="27" t="s">
        <v>405</v>
      </c>
      <c r="B241" s="27" t="s">
        <v>406</v>
      </c>
      <c r="C241" s="75">
        <v>-246196.6</v>
      </c>
      <c r="D241" s="75">
        <v>-612819.68999999994</v>
      </c>
      <c r="E241" s="75">
        <v>59.83</v>
      </c>
      <c r="F241" s="75">
        <v>40.17</v>
      </c>
      <c r="G241" s="75">
        <v>-366623.09</v>
      </c>
      <c r="H241" s="56">
        <v>-460093.5</v>
      </c>
    </row>
    <row r="242" spans="1:8" x14ac:dyDescent="0.25">
      <c r="A242" s="27" t="s">
        <v>407</v>
      </c>
      <c r="B242" s="27" t="s">
        <v>408</v>
      </c>
    </row>
    <row r="243" spans="1:8" x14ac:dyDescent="0.25">
      <c r="A243" s="28" t="s">
        <v>409</v>
      </c>
      <c r="B243" s="28" t="s">
        <v>410</v>
      </c>
      <c r="C243" s="76">
        <v>-246196.6</v>
      </c>
      <c r="D243" s="76">
        <v>-612819.68999999994</v>
      </c>
      <c r="E243" s="76">
        <v>59.83</v>
      </c>
      <c r="F243" s="76">
        <v>40.17</v>
      </c>
      <c r="G243" s="76">
        <v>-366623.09</v>
      </c>
      <c r="H243" s="73">
        <f>SUM(H239:H242)</f>
        <v>-460093.5</v>
      </c>
    </row>
    <row r="244" spans="1:8" x14ac:dyDescent="0.25">
      <c r="A244" s="27" t="s">
        <v>12</v>
      </c>
      <c r="B244" s="27" t="s">
        <v>12</v>
      </c>
    </row>
    <row r="245" spans="1:8" ht="15.75" thickBot="1" x14ac:dyDescent="0.3">
      <c r="A245" s="29" t="s">
        <v>411</v>
      </c>
      <c r="B245" s="29" t="s">
        <v>49</v>
      </c>
      <c r="C245" s="77">
        <v>-1568595.83</v>
      </c>
      <c r="D245" s="77">
        <v>-2226415.5099999998</v>
      </c>
      <c r="E245" s="77">
        <v>29.55</v>
      </c>
      <c r="F245" s="77">
        <v>70.45</v>
      </c>
      <c r="G245" s="77">
        <v>-657819.68000000005</v>
      </c>
      <c r="H245" s="74">
        <f>+H237+H243</f>
        <v>-2090375.8287868788</v>
      </c>
    </row>
    <row r="246" spans="1:8" ht="15.75" thickTop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46"/>
  <sheetViews>
    <sheetView topLeftCell="A22" workbookViewId="0">
      <selection activeCell="H42" sqref="H42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3" width="12.85546875" style="75" bestFit="1" customWidth="1"/>
    <col min="4" max="4" width="14" style="75" bestFit="1" customWidth="1"/>
    <col min="5" max="5" width="10.28515625" style="75" bestFit="1" customWidth="1"/>
    <col min="6" max="6" width="19.42578125" style="75" bestFit="1" customWidth="1"/>
    <col min="7" max="7" width="12.85546875" style="75" bestFit="1" customWidth="1"/>
    <col min="8" max="8" width="13.28515625" style="56" bestFit="1" customWidth="1"/>
  </cols>
  <sheetData>
    <row r="1" spans="1:8" x14ac:dyDescent="0.25">
      <c r="A1" s="21" t="s">
        <v>0</v>
      </c>
      <c r="B1" s="20"/>
    </row>
    <row r="2" spans="1:8" x14ac:dyDescent="0.25">
      <c r="A2" s="22" t="s">
        <v>1</v>
      </c>
      <c r="B2" s="22" t="s">
        <v>2</v>
      </c>
    </row>
    <row r="3" spans="1:8" x14ac:dyDescent="0.25">
      <c r="A3" s="22" t="s">
        <v>3</v>
      </c>
      <c r="B3" s="22" t="s">
        <v>4</v>
      </c>
    </row>
    <row r="4" spans="1:8" x14ac:dyDescent="0.25">
      <c r="A4" s="22" t="s">
        <v>412</v>
      </c>
      <c r="B4" s="22" t="s">
        <v>415</v>
      </c>
    </row>
    <row r="6" spans="1:8" x14ac:dyDescent="0.25">
      <c r="A6" s="22" t="s">
        <v>5</v>
      </c>
      <c r="B6" s="22" t="s">
        <v>6</v>
      </c>
    </row>
    <row r="8" spans="1:8" x14ac:dyDescent="0.25">
      <c r="A8" s="20"/>
      <c r="B8" s="20"/>
      <c r="C8" s="75" t="s">
        <v>7</v>
      </c>
      <c r="D8" s="75" t="s">
        <v>8</v>
      </c>
      <c r="E8" s="75" t="s">
        <v>9</v>
      </c>
      <c r="F8" s="75" t="s">
        <v>10</v>
      </c>
      <c r="G8" s="75" t="s">
        <v>11</v>
      </c>
      <c r="H8" s="56" t="s">
        <v>428</v>
      </c>
    </row>
    <row r="9" spans="1:8" x14ac:dyDescent="0.25">
      <c r="A9" s="23" t="s">
        <v>12</v>
      </c>
      <c r="B9" s="23" t="s">
        <v>13</v>
      </c>
      <c r="C9" s="76"/>
      <c r="D9" s="76"/>
      <c r="E9" s="76"/>
      <c r="F9" s="76"/>
      <c r="G9" s="76"/>
      <c r="H9" s="73"/>
    </row>
    <row r="10" spans="1:8" x14ac:dyDescent="0.25">
      <c r="A10" s="22" t="s">
        <v>12</v>
      </c>
      <c r="B10" s="22" t="s">
        <v>12</v>
      </c>
    </row>
    <row r="11" spans="1:8" x14ac:dyDescent="0.25">
      <c r="A11" s="22" t="s">
        <v>14</v>
      </c>
      <c r="B11" s="22" t="s">
        <v>15</v>
      </c>
      <c r="C11" s="75">
        <v>4816117.6100000003</v>
      </c>
      <c r="D11" s="75">
        <v>12254833.199999999</v>
      </c>
      <c r="E11" s="75">
        <v>60.7</v>
      </c>
      <c r="F11" s="75">
        <v>39.299999999999997</v>
      </c>
      <c r="G11" s="75">
        <v>7438715.5899999999</v>
      </c>
      <c r="H11" s="56">
        <f>H46</f>
        <v>10693325.965301402</v>
      </c>
    </row>
    <row r="12" spans="1:8" x14ac:dyDescent="0.25">
      <c r="A12" s="22" t="s">
        <v>16</v>
      </c>
      <c r="B12" s="22" t="s">
        <v>17</v>
      </c>
      <c r="C12" s="75">
        <v>18475.2</v>
      </c>
      <c r="D12" s="75">
        <v>274161</v>
      </c>
      <c r="E12" s="75">
        <v>93.26</v>
      </c>
      <c r="F12" s="75">
        <v>6.74</v>
      </c>
      <c r="G12" s="75">
        <v>255685.8</v>
      </c>
      <c r="H12" s="56">
        <f>H59</f>
        <v>292096.2</v>
      </c>
    </row>
    <row r="13" spans="1:8" x14ac:dyDescent="0.25">
      <c r="A13" s="22" t="s">
        <v>18</v>
      </c>
      <c r="B13" s="22" t="s">
        <v>19</v>
      </c>
      <c r="C13" s="75">
        <v>75240.899999999994</v>
      </c>
      <c r="G13" s="75">
        <v>-75240.899999999994</v>
      </c>
      <c r="H13" s="56">
        <f>H63</f>
        <v>150481.79999999999</v>
      </c>
    </row>
    <row r="14" spans="1:8" x14ac:dyDescent="0.25">
      <c r="A14" s="23" t="s">
        <v>20</v>
      </c>
      <c r="B14" s="23" t="s">
        <v>21</v>
      </c>
      <c r="C14" s="76">
        <v>4909833.71</v>
      </c>
      <c r="D14" s="76">
        <v>12528994.199999999</v>
      </c>
      <c r="E14" s="76">
        <v>60.81</v>
      </c>
      <c r="F14" s="76">
        <v>39.19</v>
      </c>
      <c r="G14" s="76">
        <v>7619160.4900000002</v>
      </c>
      <c r="H14" s="73">
        <f>SUM(H11:H13)</f>
        <v>11135903.965301402</v>
      </c>
    </row>
    <row r="15" spans="1:8" x14ac:dyDescent="0.25">
      <c r="A15" s="22" t="s">
        <v>12</v>
      </c>
      <c r="B15" s="22" t="s">
        <v>12</v>
      </c>
    </row>
    <row r="16" spans="1:8" x14ac:dyDescent="0.25">
      <c r="A16" s="23" t="s">
        <v>12</v>
      </c>
      <c r="B16" s="23" t="s">
        <v>22</v>
      </c>
      <c r="C16" s="76"/>
      <c r="D16" s="76"/>
      <c r="E16" s="76"/>
      <c r="F16" s="76"/>
      <c r="G16" s="76"/>
      <c r="H16" s="73"/>
    </row>
    <row r="17" spans="1:8" x14ac:dyDescent="0.25">
      <c r="A17" s="22" t="s">
        <v>23</v>
      </c>
      <c r="B17" s="22" t="s">
        <v>24</v>
      </c>
    </row>
    <row r="18" spans="1:8" x14ac:dyDescent="0.25">
      <c r="A18" s="22" t="s">
        <v>25</v>
      </c>
      <c r="B18" s="22" t="s">
        <v>26</v>
      </c>
      <c r="C18" s="75">
        <v>-80925</v>
      </c>
      <c r="D18" s="75">
        <v>-183260</v>
      </c>
      <c r="E18" s="75">
        <v>55.84</v>
      </c>
      <c r="F18" s="75">
        <v>44.16</v>
      </c>
      <c r="G18" s="75">
        <v>-102335</v>
      </c>
      <c r="H18" s="56">
        <f>H77</f>
        <v>-183260</v>
      </c>
    </row>
    <row r="19" spans="1:8" x14ac:dyDescent="0.25">
      <c r="A19" s="22" t="s">
        <v>27</v>
      </c>
      <c r="B19" s="22" t="s">
        <v>28</v>
      </c>
    </row>
    <row r="20" spans="1:8" x14ac:dyDescent="0.25">
      <c r="A20" s="22" t="s">
        <v>12</v>
      </c>
      <c r="B20" s="22" t="s">
        <v>12</v>
      </c>
    </row>
    <row r="21" spans="1:8" x14ac:dyDescent="0.25">
      <c r="A21" s="22" t="s">
        <v>29</v>
      </c>
      <c r="B21" s="22" t="s">
        <v>30</v>
      </c>
      <c r="C21" s="75">
        <v>-5134582.7300000004</v>
      </c>
      <c r="D21" s="75">
        <v>-10326920.41</v>
      </c>
      <c r="E21" s="75">
        <v>50.28</v>
      </c>
      <c r="F21" s="75">
        <v>49.72</v>
      </c>
      <c r="G21" s="75">
        <v>-5192337.68</v>
      </c>
      <c r="H21" s="56">
        <f>H123</f>
        <v>-9402644.9499999993</v>
      </c>
    </row>
    <row r="22" spans="1:8" x14ac:dyDescent="0.25">
      <c r="A22" s="23" t="s">
        <v>31</v>
      </c>
      <c r="B22" s="23" t="s">
        <v>32</v>
      </c>
      <c r="C22" s="76">
        <v>-5215507.7300000004</v>
      </c>
      <c r="D22" s="76">
        <v>-10510180.41</v>
      </c>
      <c r="E22" s="76">
        <v>50.38</v>
      </c>
      <c r="F22" s="76">
        <v>49.62</v>
      </c>
      <c r="G22" s="76">
        <v>-5294672.68</v>
      </c>
      <c r="H22" s="73">
        <f>H21</f>
        <v>-9402644.9499999993</v>
      </c>
    </row>
    <row r="23" spans="1:8" x14ac:dyDescent="0.25">
      <c r="A23" s="22" t="s">
        <v>12</v>
      </c>
      <c r="B23" s="22" t="s">
        <v>12</v>
      </c>
    </row>
    <row r="24" spans="1:8" x14ac:dyDescent="0.25">
      <c r="A24" s="22" t="s">
        <v>33</v>
      </c>
      <c r="B24" s="22" t="s">
        <v>34</v>
      </c>
      <c r="C24" s="75">
        <v>13623.83</v>
      </c>
      <c r="D24" s="75">
        <v>102704</v>
      </c>
      <c r="E24" s="75">
        <v>86.73</v>
      </c>
      <c r="F24" s="75">
        <v>13.27</v>
      </c>
      <c r="G24" s="75">
        <v>89080.17</v>
      </c>
      <c r="H24" s="56">
        <f>H136</f>
        <v>105547.83</v>
      </c>
    </row>
    <row r="25" spans="1:8" x14ac:dyDescent="0.25">
      <c r="A25" s="22" t="s">
        <v>35</v>
      </c>
      <c r="B25" s="22" t="s">
        <v>36</v>
      </c>
      <c r="C25" s="75">
        <v>-1455443.2</v>
      </c>
      <c r="D25" s="75">
        <v>-3166056.04</v>
      </c>
      <c r="E25" s="75">
        <v>54.03</v>
      </c>
      <c r="F25" s="75">
        <v>45.97</v>
      </c>
      <c r="G25" s="75">
        <v>-1710612.84</v>
      </c>
      <c r="H25" s="56">
        <f>H198</f>
        <v>-3896119.6721999999</v>
      </c>
    </row>
    <row r="26" spans="1:8" x14ac:dyDescent="0.25">
      <c r="A26" s="22" t="s">
        <v>37</v>
      </c>
      <c r="B26" s="22" t="s">
        <v>38</v>
      </c>
      <c r="H26" s="56">
        <f>H209</f>
        <v>0</v>
      </c>
    </row>
    <row r="27" spans="1:8" x14ac:dyDescent="0.25">
      <c r="A27" s="22" t="s">
        <v>39</v>
      </c>
      <c r="B27" s="22" t="s">
        <v>40</v>
      </c>
      <c r="C27" s="75">
        <v>-114115.42</v>
      </c>
      <c r="D27" s="75">
        <v>-261000</v>
      </c>
      <c r="E27" s="75">
        <v>56.28</v>
      </c>
      <c r="F27" s="75">
        <v>43.72</v>
      </c>
      <c r="G27" s="75">
        <v>-146884.57999999999</v>
      </c>
      <c r="H27" s="56">
        <f>H219</f>
        <v>-250916.03</v>
      </c>
    </row>
    <row r="28" spans="1:8" x14ac:dyDescent="0.25">
      <c r="A28" s="22" t="s">
        <v>41</v>
      </c>
      <c r="B28" s="22" t="s">
        <v>42</v>
      </c>
      <c r="H28" s="56">
        <f>H223</f>
        <v>0</v>
      </c>
    </row>
    <row r="29" spans="1:8" x14ac:dyDescent="0.25">
      <c r="A29" s="22" t="s">
        <v>43</v>
      </c>
      <c r="B29" s="22" t="s">
        <v>44</v>
      </c>
      <c r="H29" s="56">
        <f>H227</f>
        <v>0</v>
      </c>
    </row>
    <row r="30" spans="1:8" x14ac:dyDescent="0.25">
      <c r="A30" s="22" t="s">
        <v>12</v>
      </c>
      <c r="B30" s="22" t="s">
        <v>12</v>
      </c>
    </row>
    <row r="31" spans="1:8" ht="15.75" thickBot="1" x14ac:dyDescent="0.3">
      <c r="A31" s="24" t="s">
        <v>45</v>
      </c>
      <c r="B31" s="24" t="s">
        <v>46</v>
      </c>
      <c r="C31" s="77">
        <v>-1861608.81</v>
      </c>
      <c r="D31" s="77">
        <v>-1305538.25</v>
      </c>
      <c r="E31" s="77">
        <v>-42.59</v>
      </c>
      <c r="F31" s="77">
        <v>142.59</v>
      </c>
      <c r="G31" s="77">
        <v>556070.56000000006</v>
      </c>
      <c r="H31" s="74">
        <f>H14+H18+H22+H24+H25+H26+H27</f>
        <v>-2491488.856898597</v>
      </c>
    </row>
    <row r="32" spans="1:8" ht="15.75" thickTop="1" x14ac:dyDescent="0.25">
      <c r="A32" s="22" t="s">
        <v>12</v>
      </c>
      <c r="B32" s="22" t="s">
        <v>12</v>
      </c>
    </row>
    <row r="33" spans="1:8" x14ac:dyDescent="0.25">
      <c r="A33" s="22" t="s">
        <v>47</v>
      </c>
      <c r="B33" s="22" t="s">
        <v>48</v>
      </c>
      <c r="C33" s="75">
        <v>-376186.99</v>
      </c>
      <c r="D33" s="75">
        <v>-747623.86</v>
      </c>
      <c r="E33" s="75">
        <v>49.68</v>
      </c>
      <c r="F33" s="75">
        <v>50.32</v>
      </c>
      <c r="G33" s="75">
        <v>-371436.87</v>
      </c>
      <c r="H33" s="56">
        <f>H243</f>
        <v>-924232.57</v>
      </c>
    </row>
    <row r="34" spans="1:8" x14ac:dyDescent="0.25">
      <c r="A34" s="22" t="s">
        <v>12</v>
      </c>
      <c r="B34" s="22" t="s">
        <v>12</v>
      </c>
    </row>
    <row r="35" spans="1:8" ht="15.75" thickBot="1" x14ac:dyDescent="0.3">
      <c r="A35" s="24" t="s">
        <v>12</v>
      </c>
      <c r="B35" s="24" t="s">
        <v>49</v>
      </c>
      <c r="C35" s="77">
        <v>-2237795.7999999998</v>
      </c>
      <c r="D35" s="77">
        <v>-2053162.11</v>
      </c>
      <c r="E35" s="77">
        <v>-8.99</v>
      </c>
      <c r="F35" s="77">
        <v>108.99</v>
      </c>
      <c r="G35" s="77">
        <v>184633.69</v>
      </c>
      <c r="H35" s="74">
        <f>H31+H33</f>
        <v>-3415721.4268985968</v>
      </c>
    </row>
    <row r="36" spans="1:8" ht="15.75" thickTop="1" x14ac:dyDescent="0.25">
      <c r="A36" s="22" t="s">
        <v>12</v>
      </c>
      <c r="B36" s="22" t="s">
        <v>12</v>
      </c>
    </row>
    <row r="37" spans="1:8" x14ac:dyDescent="0.25">
      <c r="A37" s="23" t="s">
        <v>12</v>
      </c>
      <c r="B37" s="23" t="s">
        <v>50</v>
      </c>
      <c r="C37" s="76"/>
      <c r="D37" s="76"/>
      <c r="E37" s="76"/>
      <c r="F37" s="76"/>
      <c r="G37" s="76"/>
      <c r="H37" s="73"/>
    </row>
    <row r="38" spans="1:8" x14ac:dyDescent="0.25">
      <c r="A38" s="22" t="s">
        <v>12</v>
      </c>
      <c r="B38" s="22" t="s">
        <v>12</v>
      </c>
    </row>
    <row r="39" spans="1:8" x14ac:dyDescent="0.25">
      <c r="A39" s="23" t="s">
        <v>51</v>
      </c>
      <c r="B39" s="23" t="s">
        <v>52</v>
      </c>
      <c r="C39" s="76"/>
      <c r="D39" s="76"/>
      <c r="E39" s="76"/>
      <c r="F39" s="76"/>
      <c r="G39" s="76"/>
      <c r="H39" s="73"/>
    </row>
    <row r="40" spans="1:8" x14ac:dyDescent="0.25">
      <c r="A40" s="22" t="s">
        <v>53</v>
      </c>
      <c r="B40" s="22" t="s">
        <v>54</v>
      </c>
      <c r="C40" s="75">
        <v>3752470.65</v>
      </c>
      <c r="D40" s="75">
        <v>9816243.1999999993</v>
      </c>
      <c r="E40" s="75">
        <v>61.77</v>
      </c>
      <c r="F40" s="75">
        <v>38.229999999999997</v>
      </c>
      <c r="G40" s="75">
        <v>6063772.5499999998</v>
      </c>
      <c r="H40" s="75">
        <f>Taksameter!E9</f>
        <v>8572587.8803404458</v>
      </c>
    </row>
    <row r="41" spans="1:8" x14ac:dyDescent="0.25">
      <c r="A41" s="22" t="s">
        <v>55</v>
      </c>
      <c r="B41" s="22" t="s">
        <v>56</v>
      </c>
      <c r="C41" s="75">
        <v>7877.38</v>
      </c>
      <c r="D41" s="75">
        <v>540940</v>
      </c>
      <c r="E41" s="75">
        <v>98.54</v>
      </c>
      <c r="F41" s="75">
        <v>1.46</v>
      </c>
      <c r="G41" s="75">
        <v>533062.62</v>
      </c>
      <c r="H41" s="75">
        <f>Taksameter!E23</f>
        <v>199457.34496095532</v>
      </c>
    </row>
    <row r="42" spans="1:8" x14ac:dyDescent="0.25">
      <c r="A42" s="22" t="s">
        <v>57</v>
      </c>
      <c r="B42" s="22" t="s">
        <v>58</v>
      </c>
      <c r="C42" s="75">
        <v>13951.38</v>
      </c>
      <c r="G42" s="75">
        <v>-13951.38</v>
      </c>
      <c r="H42" s="75"/>
    </row>
    <row r="43" spans="1:8" x14ac:dyDescent="0.25">
      <c r="A43" s="22" t="s">
        <v>59</v>
      </c>
      <c r="B43" s="22" t="s">
        <v>60</v>
      </c>
      <c r="C43" s="75">
        <v>1247.46</v>
      </c>
      <c r="G43" s="75">
        <v>-1247.46</v>
      </c>
      <c r="H43" s="75"/>
    </row>
    <row r="44" spans="1:8" x14ac:dyDescent="0.25">
      <c r="A44" s="22" t="s">
        <v>61</v>
      </c>
      <c r="B44" s="22" t="s">
        <v>62</v>
      </c>
      <c r="C44" s="75">
        <v>880710</v>
      </c>
      <c r="D44" s="75">
        <v>1761420</v>
      </c>
      <c r="E44" s="75">
        <v>50</v>
      </c>
      <c r="F44" s="75">
        <v>50</v>
      </c>
      <c r="G44" s="75">
        <v>880710</v>
      </c>
      <c r="H44" s="75">
        <v>1761420</v>
      </c>
    </row>
    <row r="45" spans="1:8" x14ac:dyDescent="0.25">
      <c r="A45" s="22" t="s">
        <v>63</v>
      </c>
      <c r="B45" s="22" t="s">
        <v>64</v>
      </c>
      <c r="C45" s="75">
        <v>159860.74</v>
      </c>
      <c r="D45" s="75">
        <v>136230</v>
      </c>
      <c r="E45" s="75">
        <v>-17.350000000000001</v>
      </c>
      <c r="F45" s="75">
        <v>117.35</v>
      </c>
      <c r="G45" s="75">
        <v>-23630.74</v>
      </c>
      <c r="H45" s="75">
        <f>C45+('[2]Øvrige tilskud'!F17*[2]Taksameter!E16)</f>
        <v>159860.74</v>
      </c>
    </row>
    <row r="46" spans="1:8" x14ac:dyDescent="0.25">
      <c r="A46" s="23" t="s">
        <v>65</v>
      </c>
      <c r="B46" s="23" t="s">
        <v>66</v>
      </c>
      <c r="C46" s="76">
        <v>4816117.6100000003</v>
      </c>
      <c r="D46" s="76">
        <v>12254833.199999999</v>
      </c>
      <c r="E46" s="76">
        <v>60.7</v>
      </c>
      <c r="F46" s="76">
        <v>39.299999999999997</v>
      </c>
      <c r="G46" s="76">
        <v>7438715.5899999999</v>
      </c>
      <c r="H46" s="73">
        <f>SUM(H40:H45)</f>
        <v>10693325.965301402</v>
      </c>
    </row>
    <row r="47" spans="1:8" x14ac:dyDescent="0.25">
      <c r="A47" s="22" t="s">
        <v>12</v>
      </c>
      <c r="B47" s="22" t="s">
        <v>12</v>
      </c>
    </row>
    <row r="48" spans="1:8" x14ac:dyDescent="0.25">
      <c r="A48" s="23" t="s">
        <v>67</v>
      </c>
      <c r="B48" s="23" t="s">
        <v>68</v>
      </c>
      <c r="C48" s="76"/>
      <c r="D48" s="76"/>
      <c r="E48" s="76"/>
      <c r="F48" s="76"/>
      <c r="G48" s="76"/>
      <c r="H48" s="73"/>
    </row>
    <row r="49" spans="1:8" x14ac:dyDescent="0.25">
      <c r="A49" s="22" t="s">
        <v>69</v>
      </c>
      <c r="B49" s="22" t="s">
        <v>70</v>
      </c>
    </row>
    <row r="50" spans="1:8" x14ac:dyDescent="0.25">
      <c r="A50" s="22" t="s">
        <v>71</v>
      </c>
      <c r="B50" s="22" t="s">
        <v>72</v>
      </c>
      <c r="C50" s="75">
        <v>4435.2</v>
      </c>
      <c r="G50" s="75">
        <v>-4435.2</v>
      </c>
      <c r="H50" s="56">
        <v>4435.2</v>
      </c>
    </row>
    <row r="51" spans="1:8" x14ac:dyDescent="0.25">
      <c r="A51" s="22" t="s">
        <v>73</v>
      </c>
      <c r="B51" s="22" t="s">
        <v>74</v>
      </c>
    </row>
    <row r="52" spans="1:8" x14ac:dyDescent="0.25">
      <c r="A52" s="22" t="s">
        <v>75</v>
      </c>
      <c r="B52" s="22" t="s">
        <v>76</v>
      </c>
    </row>
    <row r="53" spans="1:8" x14ac:dyDescent="0.25">
      <c r="A53" s="22" t="s">
        <v>77</v>
      </c>
      <c r="B53" s="22" t="s">
        <v>78</v>
      </c>
    </row>
    <row r="54" spans="1:8" x14ac:dyDescent="0.25">
      <c r="A54" s="22" t="s">
        <v>79</v>
      </c>
      <c r="B54" s="22" t="s">
        <v>80</v>
      </c>
      <c r="C54" s="75">
        <v>13500</v>
      </c>
      <c r="G54" s="75">
        <v>-13500</v>
      </c>
      <c r="H54" s="56">
        <f>C54</f>
        <v>13500</v>
      </c>
    </row>
    <row r="55" spans="1:8" x14ac:dyDescent="0.25">
      <c r="A55" s="22" t="s">
        <v>81</v>
      </c>
      <c r="B55" s="22" t="s">
        <v>82</v>
      </c>
    </row>
    <row r="56" spans="1:8" x14ac:dyDescent="0.25">
      <c r="A56" s="22" t="s">
        <v>83</v>
      </c>
      <c r="B56" s="22" t="s">
        <v>84</v>
      </c>
      <c r="C56" s="75">
        <v>540</v>
      </c>
      <c r="D56" s="75">
        <v>195321</v>
      </c>
      <c r="E56" s="75">
        <v>99.72</v>
      </c>
      <c r="F56" s="75">
        <v>0.28000000000000003</v>
      </c>
      <c r="G56" s="75">
        <v>194781</v>
      </c>
      <c r="H56" s="56">
        <v>195321</v>
      </c>
    </row>
    <row r="57" spans="1:8" x14ac:dyDescent="0.25">
      <c r="A57" s="22" t="s">
        <v>85</v>
      </c>
      <c r="B57" s="22" t="s">
        <v>86</v>
      </c>
    </row>
    <row r="58" spans="1:8" x14ac:dyDescent="0.25">
      <c r="A58" s="22" t="s">
        <v>87</v>
      </c>
      <c r="B58" s="22" t="s">
        <v>88</v>
      </c>
      <c r="D58" s="75">
        <v>78840</v>
      </c>
      <c r="E58" s="75">
        <v>100</v>
      </c>
      <c r="G58" s="75">
        <v>78840</v>
      </c>
      <c r="H58" s="56">
        <v>78840</v>
      </c>
    </row>
    <row r="59" spans="1:8" x14ac:dyDescent="0.25">
      <c r="A59" s="23" t="s">
        <v>89</v>
      </c>
      <c r="B59" s="23" t="s">
        <v>17</v>
      </c>
      <c r="C59" s="76">
        <v>18475.2</v>
      </c>
      <c r="D59" s="76">
        <v>274161</v>
      </c>
      <c r="E59" s="76">
        <v>93.26</v>
      </c>
      <c r="F59" s="76">
        <v>6.74</v>
      </c>
      <c r="G59" s="76">
        <v>255685.8</v>
      </c>
      <c r="H59" s="73">
        <f>SUM(H49:H58)</f>
        <v>292096.2</v>
      </c>
    </row>
    <row r="60" spans="1:8" x14ac:dyDescent="0.25">
      <c r="A60" s="22" t="s">
        <v>12</v>
      </c>
      <c r="B60" s="22" t="s">
        <v>12</v>
      </c>
    </row>
    <row r="61" spans="1:8" x14ac:dyDescent="0.25">
      <c r="A61" s="23" t="s">
        <v>90</v>
      </c>
      <c r="B61" s="23" t="s">
        <v>91</v>
      </c>
      <c r="C61" s="76"/>
      <c r="D61" s="76"/>
      <c r="E61" s="76"/>
      <c r="F61" s="76"/>
      <c r="G61" s="76"/>
      <c r="H61" s="73"/>
    </row>
    <row r="62" spans="1:8" x14ac:dyDescent="0.25">
      <c r="A62" s="22" t="s">
        <v>92</v>
      </c>
      <c r="B62" s="22" t="s">
        <v>93</v>
      </c>
      <c r="C62" s="75">
        <v>75240.899999999994</v>
      </c>
      <c r="G62" s="75">
        <v>-75240.899999999994</v>
      </c>
      <c r="H62" s="56">
        <f>C62*2</f>
        <v>150481.79999999999</v>
      </c>
    </row>
    <row r="63" spans="1:8" x14ac:dyDescent="0.25">
      <c r="A63" s="23" t="s">
        <v>94</v>
      </c>
      <c r="B63" s="23" t="s">
        <v>95</v>
      </c>
      <c r="C63" s="76">
        <v>75240.899999999994</v>
      </c>
      <c r="D63" s="76"/>
      <c r="E63" s="76"/>
      <c r="F63" s="76"/>
      <c r="G63" s="76">
        <v>-75240.899999999994</v>
      </c>
      <c r="H63" s="73">
        <f>H62</f>
        <v>150481.79999999999</v>
      </c>
    </row>
    <row r="64" spans="1:8" x14ac:dyDescent="0.25">
      <c r="A64" s="22" t="s">
        <v>12</v>
      </c>
      <c r="B64" s="22" t="s">
        <v>12</v>
      </c>
    </row>
    <row r="65" spans="1:8" x14ac:dyDescent="0.25">
      <c r="A65" s="23" t="s">
        <v>96</v>
      </c>
      <c r="B65" s="23" t="s">
        <v>97</v>
      </c>
      <c r="C65" s="76">
        <v>4909833.71</v>
      </c>
      <c r="D65" s="76">
        <v>12528994.199999999</v>
      </c>
      <c r="E65" s="76">
        <v>60.81</v>
      </c>
      <c r="F65" s="76">
        <v>39.19</v>
      </c>
      <c r="G65" s="76">
        <v>7619160.4900000002</v>
      </c>
      <c r="H65" s="73">
        <f>H63+H59+H46</f>
        <v>11135903.965301402</v>
      </c>
    </row>
    <row r="66" spans="1:8" x14ac:dyDescent="0.25">
      <c r="A66" s="22" t="s">
        <v>12</v>
      </c>
      <c r="B66" s="22" t="s">
        <v>12</v>
      </c>
    </row>
    <row r="67" spans="1:8" x14ac:dyDescent="0.25">
      <c r="A67" s="23" t="s">
        <v>98</v>
      </c>
      <c r="B67" s="23" t="s">
        <v>99</v>
      </c>
      <c r="C67" s="76"/>
      <c r="D67" s="76"/>
      <c r="E67" s="76"/>
      <c r="F67" s="76"/>
      <c r="G67" s="76"/>
      <c r="H67" s="73"/>
    </row>
    <row r="68" spans="1:8" x14ac:dyDescent="0.25">
      <c r="A68" s="22" t="s">
        <v>100</v>
      </c>
      <c r="B68" s="22" t="s">
        <v>101</v>
      </c>
    </row>
    <row r="69" spans="1:8" x14ac:dyDescent="0.25">
      <c r="A69" s="22" t="s">
        <v>102</v>
      </c>
      <c r="B69" s="22" t="s">
        <v>103</v>
      </c>
    </row>
    <row r="70" spans="1:8" x14ac:dyDescent="0.25">
      <c r="A70" s="23" t="s">
        <v>104</v>
      </c>
      <c r="B70" s="23" t="s">
        <v>105</v>
      </c>
      <c r="C70" s="76"/>
      <c r="D70" s="76"/>
      <c r="E70" s="76"/>
      <c r="F70" s="76"/>
      <c r="G70" s="76"/>
      <c r="H70" s="73"/>
    </row>
    <row r="71" spans="1:8" x14ac:dyDescent="0.25">
      <c r="A71" s="22" t="s">
        <v>12</v>
      </c>
      <c r="B71" s="22" t="s">
        <v>12</v>
      </c>
    </row>
    <row r="72" spans="1:8" x14ac:dyDescent="0.25">
      <c r="A72" s="23" t="s">
        <v>106</v>
      </c>
      <c r="B72" s="23" t="s">
        <v>107</v>
      </c>
      <c r="C72" s="76"/>
      <c r="D72" s="76"/>
      <c r="E72" s="76"/>
      <c r="F72" s="76"/>
      <c r="G72" s="76"/>
      <c r="H72" s="73"/>
    </row>
    <row r="73" spans="1:8" x14ac:dyDescent="0.25">
      <c r="A73" s="22" t="s">
        <v>108</v>
      </c>
      <c r="B73" s="22" t="s">
        <v>109</v>
      </c>
    </row>
    <row r="74" spans="1:8" x14ac:dyDescent="0.25">
      <c r="A74" s="22" t="s">
        <v>110</v>
      </c>
      <c r="B74" s="22" t="s">
        <v>111</v>
      </c>
    </row>
    <row r="75" spans="1:8" x14ac:dyDescent="0.25">
      <c r="A75" s="22" t="s">
        <v>112</v>
      </c>
      <c r="B75" s="22" t="s">
        <v>113</v>
      </c>
      <c r="C75" s="75">
        <v>-18830</v>
      </c>
      <c r="D75" s="75">
        <v>-37660</v>
      </c>
      <c r="E75" s="75">
        <v>50</v>
      </c>
      <c r="F75" s="75">
        <v>50</v>
      </c>
      <c r="G75" s="75">
        <v>-18830</v>
      </c>
      <c r="H75" s="75">
        <v>-37660</v>
      </c>
    </row>
    <row r="76" spans="1:8" x14ac:dyDescent="0.25">
      <c r="A76" s="22" t="s">
        <v>114</v>
      </c>
      <c r="B76" s="22" t="s">
        <v>115</v>
      </c>
      <c r="C76" s="75">
        <v>-62095</v>
      </c>
      <c r="D76" s="75">
        <v>-145600</v>
      </c>
      <c r="E76" s="75">
        <v>57.35</v>
      </c>
      <c r="F76" s="75">
        <v>42.65</v>
      </c>
      <c r="G76" s="75">
        <v>-83505</v>
      </c>
      <c r="H76" s="75">
        <v>-145600</v>
      </c>
    </row>
    <row r="77" spans="1:8" x14ac:dyDescent="0.25">
      <c r="A77" s="23" t="s">
        <v>116</v>
      </c>
      <c r="B77" s="23" t="s">
        <v>117</v>
      </c>
      <c r="C77" s="76">
        <v>-80925</v>
      </c>
      <c r="D77" s="76">
        <v>-183260</v>
      </c>
      <c r="E77" s="76">
        <v>55.84</v>
      </c>
      <c r="F77" s="76">
        <v>44.16</v>
      </c>
      <c r="G77" s="76">
        <v>-102335</v>
      </c>
      <c r="H77" s="73">
        <f>SUM(H73:H76)</f>
        <v>-183260</v>
      </c>
    </row>
    <row r="78" spans="1:8" x14ac:dyDescent="0.25">
      <c r="A78" s="22" t="s">
        <v>12</v>
      </c>
      <c r="B78" s="22" t="s">
        <v>12</v>
      </c>
    </row>
    <row r="79" spans="1:8" x14ac:dyDescent="0.25">
      <c r="A79" s="23" t="s">
        <v>118</v>
      </c>
      <c r="B79" s="23" t="s">
        <v>119</v>
      </c>
      <c r="C79" s="76"/>
      <c r="D79" s="76"/>
      <c r="E79" s="76"/>
      <c r="F79" s="76"/>
      <c r="G79" s="76"/>
      <c r="H79" s="73"/>
    </row>
    <row r="80" spans="1:8" x14ac:dyDescent="0.25">
      <c r="A80" s="22" t="s">
        <v>120</v>
      </c>
      <c r="B80" s="22" t="s">
        <v>121</v>
      </c>
    </row>
    <row r="81" spans="1:8" x14ac:dyDescent="0.25">
      <c r="A81" s="22" t="s">
        <v>122</v>
      </c>
      <c r="B81" s="22" t="s">
        <v>123</v>
      </c>
    </row>
    <row r="82" spans="1:8" x14ac:dyDescent="0.25">
      <c r="A82" s="23" t="s">
        <v>124</v>
      </c>
      <c r="B82" s="23" t="s">
        <v>125</v>
      </c>
      <c r="C82" s="76"/>
      <c r="D82" s="76"/>
      <c r="E82" s="76"/>
      <c r="F82" s="76"/>
      <c r="G82" s="76"/>
      <c r="H82" s="73">
        <f>H80+H81</f>
        <v>0</v>
      </c>
    </row>
    <row r="83" spans="1:8" x14ac:dyDescent="0.25">
      <c r="A83" s="22" t="s">
        <v>12</v>
      </c>
      <c r="B83" s="22" t="s">
        <v>12</v>
      </c>
    </row>
    <row r="84" spans="1:8" x14ac:dyDescent="0.25">
      <c r="A84" s="23" t="s">
        <v>126</v>
      </c>
      <c r="B84" s="23" t="s">
        <v>30</v>
      </c>
      <c r="C84" s="76"/>
      <c r="D84" s="76"/>
      <c r="E84" s="76"/>
      <c r="F84" s="76"/>
      <c r="G84" s="76"/>
      <c r="H84" s="73"/>
    </row>
    <row r="85" spans="1:8" x14ac:dyDescent="0.25">
      <c r="A85" s="22" t="s">
        <v>127</v>
      </c>
      <c r="B85" s="22" t="s">
        <v>128</v>
      </c>
    </row>
    <row r="86" spans="1:8" x14ac:dyDescent="0.25">
      <c r="A86" s="22" t="s">
        <v>129</v>
      </c>
      <c r="B86" s="22" t="s">
        <v>130</v>
      </c>
      <c r="D86" s="75">
        <v>-67392</v>
      </c>
      <c r="E86" s="75">
        <v>100</v>
      </c>
      <c r="G86" s="75">
        <v>-67392</v>
      </c>
      <c r="H86" s="56">
        <v>0</v>
      </c>
    </row>
    <row r="87" spans="1:8" x14ac:dyDescent="0.25">
      <c r="A87" s="22" t="s">
        <v>131</v>
      </c>
      <c r="B87" s="22" t="s">
        <v>132</v>
      </c>
    </row>
    <row r="88" spans="1:8" x14ac:dyDescent="0.25">
      <c r="A88" s="22" t="s">
        <v>133</v>
      </c>
      <c r="B88" s="22" t="s">
        <v>134</v>
      </c>
      <c r="C88" s="75">
        <v>-1748.83</v>
      </c>
      <c r="G88" s="75">
        <v>1748.83</v>
      </c>
      <c r="H88" s="75">
        <v>-1748.83</v>
      </c>
    </row>
    <row r="89" spans="1:8" x14ac:dyDescent="0.25">
      <c r="A89" s="22" t="s">
        <v>135</v>
      </c>
      <c r="B89" s="22" t="s">
        <v>136</v>
      </c>
      <c r="C89" s="75">
        <v>1748.83</v>
      </c>
      <c r="G89" s="75">
        <v>-1748.83</v>
      </c>
      <c r="H89" s="75">
        <v>1748.83</v>
      </c>
    </row>
    <row r="90" spans="1:8" x14ac:dyDescent="0.25">
      <c r="A90" s="22" t="s">
        <v>137</v>
      </c>
      <c r="B90" s="22" t="s">
        <v>138</v>
      </c>
      <c r="C90" s="75">
        <v>-5215067.91</v>
      </c>
      <c r="D90" s="75">
        <v>-8651990.8900000006</v>
      </c>
      <c r="E90" s="75">
        <v>39.72</v>
      </c>
      <c r="F90" s="75">
        <v>60.28</v>
      </c>
      <c r="G90" s="75">
        <v>-3436922.98</v>
      </c>
      <c r="H90" s="56">
        <f>-8692392.29-108056</f>
        <v>-8800448.2899999991</v>
      </c>
    </row>
    <row r="91" spans="1:8" x14ac:dyDescent="0.25">
      <c r="A91" s="22" t="s">
        <v>139</v>
      </c>
      <c r="B91" s="22" t="s">
        <v>140</v>
      </c>
    </row>
    <row r="92" spans="1:8" x14ac:dyDescent="0.25">
      <c r="A92" s="22" t="s">
        <v>141</v>
      </c>
      <c r="B92" s="22" t="s">
        <v>142</v>
      </c>
    </row>
    <row r="93" spans="1:8" x14ac:dyDescent="0.25">
      <c r="A93" s="22" t="s">
        <v>143</v>
      </c>
      <c r="B93" s="22" t="s">
        <v>144</v>
      </c>
    </row>
    <row r="94" spans="1:8" x14ac:dyDescent="0.25">
      <c r="A94" s="22" t="s">
        <v>145</v>
      </c>
      <c r="B94" s="22" t="s">
        <v>146</v>
      </c>
    </row>
    <row r="95" spans="1:8" x14ac:dyDescent="0.25">
      <c r="A95" s="22" t="s">
        <v>147</v>
      </c>
      <c r="B95" s="22" t="s">
        <v>148</v>
      </c>
      <c r="C95" s="75">
        <v>-6955.15</v>
      </c>
      <c r="G95" s="75">
        <v>6955.15</v>
      </c>
      <c r="H95" s="56">
        <f>C95</f>
        <v>-6955.15</v>
      </c>
    </row>
    <row r="96" spans="1:8" x14ac:dyDescent="0.25">
      <c r="A96" s="22" t="s">
        <v>149</v>
      </c>
      <c r="B96" s="22" t="s">
        <v>150</v>
      </c>
    </row>
    <row r="97" spans="1:8" x14ac:dyDescent="0.25">
      <c r="A97" s="22" t="s">
        <v>151</v>
      </c>
      <c r="B97" s="22" t="s">
        <v>152</v>
      </c>
    </row>
    <row r="98" spans="1:8" x14ac:dyDescent="0.25">
      <c r="A98" s="22" t="s">
        <v>153</v>
      </c>
      <c r="B98" s="22" t="s">
        <v>154</v>
      </c>
    </row>
    <row r="99" spans="1:8" x14ac:dyDescent="0.25">
      <c r="A99" s="22" t="s">
        <v>155</v>
      </c>
      <c r="B99" s="22" t="s">
        <v>156</v>
      </c>
    </row>
    <row r="100" spans="1:8" x14ac:dyDescent="0.25">
      <c r="A100" s="22" t="s">
        <v>157</v>
      </c>
      <c r="B100" s="22" t="s">
        <v>158</v>
      </c>
    </row>
    <row r="101" spans="1:8" x14ac:dyDescent="0.25">
      <c r="A101" s="22" t="s">
        <v>159</v>
      </c>
      <c r="B101" s="22" t="s">
        <v>160</v>
      </c>
    </row>
    <row r="102" spans="1:8" x14ac:dyDescent="0.25">
      <c r="A102" s="22" t="s">
        <v>161</v>
      </c>
      <c r="B102" s="22" t="s">
        <v>162</v>
      </c>
    </row>
    <row r="103" spans="1:8" x14ac:dyDescent="0.25">
      <c r="A103" s="22" t="s">
        <v>163</v>
      </c>
      <c r="B103" s="22" t="s">
        <v>164</v>
      </c>
    </row>
    <row r="104" spans="1:8" x14ac:dyDescent="0.25">
      <c r="A104" s="22" t="s">
        <v>165</v>
      </c>
      <c r="B104" s="22" t="s">
        <v>166</v>
      </c>
    </row>
    <row r="105" spans="1:8" x14ac:dyDescent="0.25">
      <c r="A105" s="22" t="s">
        <v>167</v>
      </c>
      <c r="B105" s="22" t="s">
        <v>168</v>
      </c>
    </row>
    <row r="106" spans="1:8" x14ac:dyDescent="0.25">
      <c r="A106" s="22" t="s">
        <v>169</v>
      </c>
      <c r="B106" s="22" t="s">
        <v>170</v>
      </c>
      <c r="C106" s="75">
        <v>297460.89</v>
      </c>
      <c r="G106" s="75">
        <v>-297460.89</v>
      </c>
      <c r="H106" s="56">
        <f>C106</f>
        <v>297460.89</v>
      </c>
    </row>
    <row r="107" spans="1:8" x14ac:dyDescent="0.25">
      <c r="A107" s="23" t="s">
        <v>171</v>
      </c>
      <c r="B107" s="23" t="s">
        <v>172</v>
      </c>
      <c r="C107" s="76">
        <v>-4924562.17</v>
      </c>
      <c r="D107" s="76">
        <v>-8719382.8900000006</v>
      </c>
      <c r="E107" s="76">
        <v>43.52</v>
      </c>
      <c r="F107" s="76">
        <v>56.48</v>
      </c>
      <c r="G107" s="76">
        <v>-3794820.72</v>
      </c>
      <c r="H107" s="73">
        <f>SUM(H85:H106)</f>
        <v>-8509942.5499999989</v>
      </c>
    </row>
    <row r="108" spans="1:8" x14ac:dyDescent="0.25">
      <c r="A108" s="22" t="s">
        <v>12</v>
      </c>
      <c r="B108" s="22" t="s">
        <v>12</v>
      </c>
    </row>
    <row r="109" spans="1:8" x14ac:dyDescent="0.25">
      <c r="A109" s="23" t="s">
        <v>173</v>
      </c>
      <c r="B109" s="23" t="s">
        <v>174</v>
      </c>
      <c r="C109" s="76"/>
      <c r="D109" s="76"/>
      <c r="E109" s="76"/>
      <c r="F109" s="76"/>
      <c r="G109" s="76"/>
      <c r="H109" s="73"/>
    </row>
    <row r="110" spans="1:8" x14ac:dyDescent="0.25">
      <c r="A110" s="22" t="s">
        <v>175</v>
      </c>
      <c r="B110" s="22" t="s">
        <v>174</v>
      </c>
      <c r="C110" s="75">
        <v>-836207.75</v>
      </c>
      <c r="D110" s="75">
        <v>-1772094.52</v>
      </c>
      <c r="E110" s="75">
        <v>52.81</v>
      </c>
      <c r="F110" s="75">
        <v>47.19</v>
      </c>
      <c r="G110" s="75">
        <v>-935886.77</v>
      </c>
      <c r="H110" s="56">
        <v>-1818360.17</v>
      </c>
    </row>
    <row r="111" spans="1:8" x14ac:dyDescent="0.25">
      <c r="A111" s="22" t="s">
        <v>176</v>
      </c>
      <c r="B111" s="22" t="s">
        <v>177</v>
      </c>
    </row>
    <row r="112" spans="1:8" x14ac:dyDescent="0.25">
      <c r="A112" s="23" t="s">
        <v>178</v>
      </c>
      <c r="B112" s="23" t="s">
        <v>179</v>
      </c>
      <c r="C112" s="76">
        <v>-836207.75</v>
      </c>
      <c r="D112" s="76">
        <v>-1772094.52</v>
      </c>
      <c r="E112" s="76">
        <v>52.81</v>
      </c>
      <c r="F112" s="76">
        <v>47.19</v>
      </c>
      <c r="G112" s="76">
        <v>-935886.77</v>
      </c>
      <c r="H112" s="73">
        <f>H110+H111</f>
        <v>-1818360.17</v>
      </c>
    </row>
    <row r="113" spans="1:8" x14ac:dyDescent="0.25">
      <c r="A113" s="22" t="s">
        <v>12</v>
      </c>
      <c r="B113" s="22" t="s">
        <v>12</v>
      </c>
    </row>
    <row r="114" spans="1:8" x14ac:dyDescent="0.25">
      <c r="A114" s="23" t="s">
        <v>180</v>
      </c>
      <c r="B114" s="23" t="s">
        <v>181</v>
      </c>
      <c r="C114" s="76"/>
      <c r="D114" s="76"/>
      <c r="E114" s="76"/>
      <c r="F114" s="76"/>
      <c r="G114" s="76"/>
      <c r="H114" s="73"/>
    </row>
    <row r="115" spans="1:8" x14ac:dyDescent="0.25">
      <c r="A115" s="22" t="s">
        <v>182</v>
      </c>
      <c r="B115" s="22" t="s">
        <v>183</v>
      </c>
      <c r="C115" s="75">
        <v>299470.58</v>
      </c>
      <c r="D115" s="75">
        <v>164557</v>
      </c>
      <c r="E115" s="75">
        <v>-81.99</v>
      </c>
      <c r="F115" s="75">
        <v>181.99</v>
      </c>
      <c r="G115" s="75">
        <v>-134913.57999999999</v>
      </c>
      <c r="H115" s="56">
        <f>C115*2</f>
        <v>598941.16</v>
      </c>
    </row>
    <row r="116" spans="1:8" x14ac:dyDescent="0.25">
      <c r="A116" s="22" t="s">
        <v>184</v>
      </c>
      <c r="B116" s="22" t="s">
        <v>185</v>
      </c>
      <c r="C116" s="75">
        <v>229280.81</v>
      </c>
      <c r="G116" s="75">
        <v>-229280.81</v>
      </c>
      <c r="H116" s="56">
        <f>C116</f>
        <v>229280.81</v>
      </c>
    </row>
    <row r="117" spans="1:8" x14ac:dyDescent="0.25">
      <c r="A117" s="22" t="s">
        <v>186</v>
      </c>
      <c r="B117" s="22" t="s">
        <v>187</v>
      </c>
    </row>
    <row r="118" spans="1:8" x14ac:dyDescent="0.25">
      <c r="A118" s="22" t="s">
        <v>188</v>
      </c>
      <c r="B118" s="22" t="s">
        <v>189</v>
      </c>
      <c r="C118" s="75">
        <v>97435.8</v>
      </c>
      <c r="G118" s="75">
        <v>-97435.8</v>
      </c>
      <c r="H118" s="56">
        <f>C118</f>
        <v>97435.8</v>
      </c>
    </row>
    <row r="119" spans="1:8" x14ac:dyDescent="0.25">
      <c r="A119" s="22" t="s">
        <v>190</v>
      </c>
      <c r="B119" s="22" t="s">
        <v>191</v>
      </c>
    </row>
    <row r="120" spans="1:8" x14ac:dyDescent="0.25">
      <c r="A120" s="22" t="s">
        <v>192</v>
      </c>
      <c r="B120" s="22" t="s">
        <v>193</v>
      </c>
    </row>
    <row r="121" spans="1:8" x14ac:dyDescent="0.25">
      <c r="A121" s="22" t="s">
        <v>194</v>
      </c>
      <c r="B121" s="22" t="s">
        <v>195</v>
      </c>
    </row>
    <row r="122" spans="1:8" x14ac:dyDescent="0.25">
      <c r="A122" s="23" t="s">
        <v>196</v>
      </c>
      <c r="B122" s="23" t="s">
        <v>197</v>
      </c>
      <c r="C122" s="76">
        <v>626187.18999999994</v>
      </c>
      <c r="D122" s="76">
        <v>164557</v>
      </c>
      <c r="E122" s="76">
        <v>-280.52999999999997</v>
      </c>
      <c r="F122" s="76">
        <v>380.53</v>
      </c>
      <c r="G122" s="76">
        <v>-461630.19</v>
      </c>
      <c r="H122" s="73">
        <f>SUM(H115:H121)</f>
        <v>925657.77</v>
      </c>
    </row>
    <row r="123" spans="1:8" x14ac:dyDescent="0.25">
      <c r="A123" s="23" t="s">
        <v>198</v>
      </c>
      <c r="B123" s="23" t="s">
        <v>199</v>
      </c>
      <c r="C123" s="76">
        <v>-5134582.7300000004</v>
      </c>
      <c r="D123" s="76">
        <v>-10326920.41</v>
      </c>
      <c r="E123" s="76">
        <v>50.28</v>
      </c>
      <c r="F123" s="76">
        <v>49.72</v>
      </c>
      <c r="G123" s="76">
        <v>-5192337.68</v>
      </c>
      <c r="H123" s="73">
        <f>H122+H112+H107</f>
        <v>-9402644.9499999993</v>
      </c>
    </row>
    <row r="124" spans="1:8" x14ac:dyDescent="0.25">
      <c r="A124" s="22" t="s">
        <v>12</v>
      </c>
      <c r="B124" s="22" t="s">
        <v>12</v>
      </c>
    </row>
    <row r="125" spans="1:8" x14ac:dyDescent="0.25">
      <c r="A125" s="23" t="s">
        <v>200</v>
      </c>
      <c r="B125" s="23" t="s">
        <v>201</v>
      </c>
      <c r="C125" s="76">
        <v>-5215507.7300000004</v>
      </c>
      <c r="D125" s="76">
        <v>-10510180.41</v>
      </c>
      <c r="E125" s="76">
        <v>50.38</v>
      </c>
      <c r="F125" s="76">
        <v>49.62</v>
      </c>
      <c r="G125" s="76">
        <v>-5294672.68</v>
      </c>
      <c r="H125" s="73">
        <f>H123+H82+H77</f>
        <v>-9585904.9499999993</v>
      </c>
    </row>
    <row r="126" spans="1:8" x14ac:dyDescent="0.25">
      <c r="A126" s="22" t="s">
        <v>12</v>
      </c>
      <c r="B126" s="22" t="s">
        <v>12</v>
      </c>
    </row>
    <row r="127" spans="1:8" x14ac:dyDescent="0.25">
      <c r="A127" s="23" t="s">
        <v>202</v>
      </c>
      <c r="B127" s="23" t="s">
        <v>203</v>
      </c>
      <c r="C127" s="76">
        <v>-305674.02</v>
      </c>
      <c r="D127" s="76">
        <v>2018813.79</v>
      </c>
      <c r="E127" s="76">
        <v>115.14</v>
      </c>
      <c r="F127" s="76">
        <v>-15.14</v>
      </c>
      <c r="G127" s="76">
        <v>2324487.81</v>
      </c>
      <c r="H127" s="73">
        <f>H125+H65</f>
        <v>1549999.0153014027</v>
      </c>
    </row>
    <row r="128" spans="1:8" x14ac:dyDescent="0.25">
      <c r="A128" s="22" t="s">
        <v>12</v>
      </c>
      <c r="B128" s="22" t="s">
        <v>12</v>
      </c>
    </row>
    <row r="129" spans="1:8" x14ac:dyDescent="0.25">
      <c r="A129" s="23" t="s">
        <v>204</v>
      </c>
      <c r="B129" s="23" t="s">
        <v>205</v>
      </c>
      <c r="C129" s="76"/>
      <c r="D129" s="76"/>
      <c r="E129" s="76"/>
      <c r="F129" s="76"/>
      <c r="G129" s="76"/>
      <c r="H129" s="73"/>
    </row>
    <row r="130" spans="1:8" x14ac:dyDescent="0.25">
      <c r="A130" s="22" t="s">
        <v>206</v>
      </c>
      <c r="B130" s="22" t="s">
        <v>207</v>
      </c>
      <c r="C130" s="75">
        <v>10780</v>
      </c>
      <c r="D130" s="75">
        <v>102704</v>
      </c>
      <c r="E130" s="75">
        <v>89.5</v>
      </c>
      <c r="F130" s="75">
        <v>10.5</v>
      </c>
      <c r="G130" s="75">
        <v>91924</v>
      </c>
      <c r="H130" s="75">
        <v>102704</v>
      </c>
    </row>
    <row r="131" spans="1:8" x14ac:dyDescent="0.25">
      <c r="A131" s="22" t="s">
        <v>208</v>
      </c>
      <c r="B131" s="22" t="s">
        <v>209</v>
      </c>
      <c r="C131" s="75">
        <v>2843.83</v>
      </c>
      <c r="G131" s="75">
        <v>-2843.83</v>
      </c>
      <c r="H131" s="56">
        <f>C131</f>
        <v>2843.83</v>
      </c>
    </row>
    <row r="132" spans="1:8" x14ac:dyDescent="0.25">
      <c r="A132" s="22" t="s">
        <v>210</v>
      </c>
      <c r="B132" s="22" t="s">
        <v>211</v>
      </c>
    </row>
    <row r="133" spans="1:8" x14ac:dyDescent="0.25">
      <c r="A133" s="22" t="s">
        <v>212</v>
      </c>
      <c r="B133" s="22" t="s">
        <v>213</v>
      </c>
    </row>
    <row r="134" spans="1:8" x14ac:dyDescent="0.25">
      <c r="A134" s="22" t="s">
        <v>214</v>
      </c>
      <c r="B134" s="22" t="s">
        <v>215</v>
      </c>
    </row>
    <row r="135" spans="1:8" x14ac:dyDescent="0.25">
      <c r="A135" s="22" t="s">
        <v>216</v>
      </c>
      <c r="B135" s="22" t="s">
        <v>217</v>
      </c>
    </row>
    <row r="136" spans="1:8" x14ac:dyDescent="0.25">
      <c r="A136" s="23" t="s">
        <v>218</v>
      </c>
      <c r="B136" s="23" t="s">
        <v>219</v>
      </c>
      <c r="C136" s="76">
        <v>13623.83</v>
      </c>
      <c r="D136" s="76">
        <v>102704</v>
      </c>
      <c r="E136" s="76">
        <v>86.73</v>
      </c>
      <c r="F136" s="76">
        <v>13.27</v>
      </c>
      <c r="G136" s="76">
        <v>89080.17</v>
      </c>
      <c r="H136" s="73">
        <f>SUM(H130:H135)</f>
        <v>105547.83</v>
      </c>
    </row>
    <row r="137" spans="1:8" x14ac:dyDescent="0.25">
      <c r="A137" s="22" t="s">
        <v>12</v>
      </c>
      <c r="B137" s="22" t="s">
        <v>12</v>
      </c>
    </row>
    <row r="138" spans="1:8" x14ac:dyDescent="0.25">
      <c r="A138" s="23" t="s">
        <v>220</v>
      </c>
      <c r="B138" s="23" t="s">
        <v>221</v>
      </c>
      <c r="C138" s="76"/>
      <c r="D138" s="76"/>
      <c r="E138" s="76"/>
      <c r="F138" s="76"/>
      <c r="G138" s="76"/>
      <c r="H138" s="73"/>
    </row>
    <row r="139" spans="1:8" x14ac:dyDescent="0.25">
      <c r="A139" s="22" t="s">
        <v>222</v>
      </c>
      <c r="B139" s="22" t="s">
        <v>223</v>
      </c>
    </row>
    <row r="140" spans="1:8" x14ac:dyDescent="0.25">
      <c r="A140" s="22" t="s">
        <v>224</v>
      </c>
      <c r="B140" s="22" t="s">
        <v>225</v>
      </c>
    </row>
    <row r="141" spans="1:8" x14ac:dyDescent="0.25">
      <c r="A141" s="22" t="s">
        <v>226</v>
      </c>
      <c r="B141" s="22" t="s">
        <v>227</v>
      </c>
      <c r="C141" s="75">
        <v>-471666.32</v>
      </c>
      <c r="D141" s="75">
        <v>-510415.7</v>
      </c>
      <c r="E141" s="75">
        <v>7.59</v>
      </c>
      <c r="F141" s="75">
        <v>92.41</v>
      </c>
      <c r="G141" s="75">
        <v>-38749.379999999997</v>
      </c>
      <c r="H141" s="56">
        <f>'Fælles adm.'!H142*-1*0.13</f>
        <v>-1296647.2921999998</v>
      </c>
    </row>
    <row r="142" spans="1:8" x14ac:dyDescent="0.25">
      <c r="A142" s="22" t="s">
        <v>228</v>
      </c>
      <c r="B142" s="22" t="s">
        <v>229</v>
      </c>
    </row>
    <row r="143" spans="1:8" x14ac:dyDescent="0.25">
      <c r="A143" s="22" t="s">
        <v>230</v>
      </c>
      <c r="B143" s="22" t="s">
        <v>231</v>
      </c>
      <c r="C143" s="75">
        <v>-2080</v>
      </c>
      <c r="G143" s="75">
        <v>2080</v>
      </c>
      <c r="H143" s="56">
        <f>C143</f>
        <v>-2080</v>
      </c>
    </row>
    <row r="144" spans="1:8" x14ac:dyDescent="0.25">
      <c r="A144" s="22" t="s">
        <v>232</v>
      </c>
      <c r="B144" s="22" t="s">
        <v>233</v>
      </c>
      <c r="C144" s="75">
        <v>-2101.8200000000002</v>
      </c>
      <c r="D144" s="75">
        <v>-42000</v>
      </c>
      <c r="E144" s="75">
        <v>95</v>
      </c>
      <c r="F144" s="75">
        <v>5</v>
      </c>
      <c r="G144" s="75">
        <v>-39898.18</v>
      </c>
      <c r="H144" s="75">
        <v>-42000</v>
      </c>
    </row>
    <row r="145" spans="1:8" x14ac:dyDescent="0.25">
      <c r="A145" s="22" t="s">
        <v>234</v>
      </c>
      <c r="B145" s="22" t="s">
        <v>235</v>
      </c>
      <c r="D145" s="75">
        <v>-5000</v>
      </c>
      <c r="E145" s="75">
        <v>100</v>
      </c>
      <c r="G145" s="75">
        <v>-5000</v>
      </c>
      <c r="H145" s="75">
        <v>-5000</v>
      </c>
    </row>
    <row r="146" spans="1:8" x14ac:dyDescent="0.25">
      <c r="A146" s="22" t="s">
        <v>236</v>
      </c>
      <c r="B146" s="22" t="s">
        <v>237</v>
      </c>
      <c r="C146" s="75">
        <v>-159.19999999999999</v>
      </c>
      <c r="D146" s="75">
        <v>-5000</v>
      </c>
      <c r="E146" s="75">
        <v>96.82</v>
      </c>
      <c r="F146" s="75">
        <v>3.18</v>
      </c>
      <c r="G146" s="75">
        <v>-4840.8</v>
      </c>
      <c r="H146" s="75">
        <v>-5000</v>
      </c>
    </row>
    <row r="147" spans="1:8" x14ac:dyDescent="0.25">
      <c r="A147" s="22" t="s">
        <v>238</v>
      </c>
      <c r="B147" s="22" t="s">
        <v>239</v>
      </c>
      <c r="D147" s="75">
        <v>-12000</v>
      </c>
      <c r="E147" s="75">
        <v>100</v>
      </c>
      <c r="G147" s="75">
        <v>-12000</v>
      </c>
      <c r="H147" s="75">
        <v>-12000</v>
      </c>
    </row>
    <row r="148" spans="1:8" x14ac:dyDescent="0.25">
      <c r="A148" s="22" t="s">
        <v>240</v>
      </c>
      <c r="B148" s="22" t="s">
        <v>241</v>
      </c>
      <c r="C148" s="75">
        <v>-38500</v>
      </c>
      <c r="G148" s="75">
        <v>38500</v>
      </c>
      <c r="H148" s="56">
        <f>C148</f>
        <v>-38500</v>
      </c>
    </row>
    <row r="149" spans="1:8" x14ac:dyDescent="0.25">
      <c r="A149" s="22" t="s">
        <v>242</v>
      </c>
      <c r="B149" s="22" t="s">
        <v>243</v>
      </c>
      <c r="C149" s="75">
        <v>-16006.14</v>
      </c>
      <c r="D149" s="75">
        <v>-60000</v>
      </c>
      <c r="E149" s="75">
        <v>73.319999999999993</v>
      </c>
      <c r="F149" s="75">
        <v>26.68</v>
      </c>
      <c r="G149" s="75">
        <v>-43993.86</v>
      </c>
      <c r="H149" s="75">
        <v>-60000</v>
      </c>
    </row>
    <row r="150" spans="1:8" x14ac:dyDescent="0.25">
      <c r="A150" s="22" t="s">
        <v>244</v>
      </c>
      <c r="B150" s="22" t="s">
        <v>245</v>
      </c>
      <c r="C150" s="75">
        <v>-33385.599999999999</v>
      </c>
      <c r="D150" s="75">
        <v>-6400</v>
      </c>
      <c r="E150" s="75">
        <v>-421.65</v>
      </c>
      <c r="F150" s="75">
        <v>521.65</v>
      </c>
      <c r="G150" s="75">
        <v>26985.599999999999</v>
      </c>
      <c r="H150" s="75">
        <v>-6400</v>
      </c>
    </row>
    <row r="151" spans="1:8" x14ac:dyDescent="0.25">
      <c r="A151" s="22" t="s">
        <v>246</v>
      </c>
      <c r="B151" s="22" t="s">
        <v>247</v>
      </c>
      <c r="C151" s="75">
        <v>-288078.40000000002</v>
      </c>
      <c r="D151" s="75">
        <v>-313875</v>
      </c>
      <c r="E151" s="75">
        <v>8.2200000000000006</v>
      </c>
      <c r="F151" s="75">
        <v>91.78</v>
      </c>
      <c r="G151" s="75">
        <v>-25796.6</v>
      </c>
      <c r="H151" s="75">
        <f>-313875+38500</f>
        <v>-275375</v>
      </c>
    </row>
    <row r="152" spans="1:8" x14ac:dyDescent="0.25">
      <c r="A152" s="22" t="s">
        <v>248</v>
      </c>
      <c r="B152" s="22" t="s">
        <v>249</v>
      </c>
      <c r="C152" s="75">
        <v>-32022.05</v>
      </c>
      <c r="D152" s="75">
        <v>-50000</v>
      </c>
      <c r="E152" s="75">
        <v>35.96</v>
      </c>
      <c r="F152" s="75">
        <v>64.040000000000006</v>
      </c>
      <c r="G152" s="75">
        <v>-17977.95</v>
      </c>
      <c r="H152" s="75">
        <v>-50000</v>
      </c>
    </row>
    <row r="153" spans="1:8" x14ac:dyDescent="0.25">
      <c r="A153" s="22" t="s">
        <v>250</v>
      </c>
      <c r="B153" s="22" t="s">
        <v>251</v>
      </c>
      <c r="H153" s="75"/>
    </row>
    <row r="154" spans="1:8" x14ac:dyDescent="0.25">
      <c r="A154" s="22" t="s">
        <v>252</v>
      </c>
      <c r="B154" s="22" t="s">
        <v>253</v>
      </c>
      <c r="C154" s="75">
        <v>-71891.22</v>
      </c>
      <c r="D154" s="75">
        <v>-70000</v>
      </c>
      <c r="E154" s="75">
        <v>-2.7</v>
      </c>
      <c r="F154" s="75">
        <v>102.7</v>
      </c>
      <c r="G154" s="75">
        <v>1891.22</v>
      </c>
      <c r="H154" s="56">
        <f>C154</f>
        <v>-71891.22</v>
      </c>
    </row>
    <row r="155" spans="1:8" x14ac:dyDescent="0.25">
      <c r="A155" s="22" t="s">
        <v>254</v>
      </c>
      <c r="B155" s="22" t="s">
        <v>255</v>
      </c>
      <c r="C155" s="75">
        <v>-24450</v>
      </c>
      <c r="D155" s="75">
        <v>-58000</v>
      </c>
      <c r="E155" s="75">
        <v>57.84</v>
      </c>
      <c r="F155" s="75">
        <v>42.16</v>
      </c>
      <c r="G155" s="75">
        <v>-33550</v>
      </c>
      <c r="H155" s="75">
        <v>-58000</v>
      </c>
    </row>
    <row r="156" spans="1:8" x14ac:dyDescent="0.25">
      <c r="A156" s="22" t="s">
        <v>256</v>
      </c>
      <c r="B156" s="22" t="s">
        <v>257</v>
      </c>
      <c r="D156" s="75">
        <v>-10433.33</v>
      </c>
      <c r="E156" s="75">
        <v>100</v>
      </c>
      <c r="G156" s="75">
        <v>-10433.33</v>
      </c>
      <c r="H156" s="75">
        <v>-10433.33</v>
      </c>
    </row>
    <row r="157" spans="1:8" x14ac:dyDescent="0.25">
      <c r="A157" s="22" t="s">
        <v>258</v>
      </c>
      <c r="B157" s="22" t="s">
        <v>259</v>
      </c>
      <c r="H157" s="75"/>
    </row>
    <row r="158" spans="1:8" x14ac:dyDescent="0.25">
      <c r="A158" s="22" t="s">
        <v>260</v>
      </c>
      <c r="B158" s="22" t="s">
        <v>261</v>
      </c>
      <c r="D158" s="75">
        <v>-111192</v>
      </c>
      <c r="E158" s="75">
        <v>100</v>
      </c>
      <c r="G158" s="75">
        <v>-111192</v>
      </c>
      <c r="H158" s="75">
        <v>0</v>
      </c>
    </row>
    <row r="159" spans="1:8" x14ac:dyDescent="0.25">
      <c r="A159" s="22" t="s">
        <v>262</v>
      </c>
      <c r="B159" s="22" t="s">
        <v>263</v>
      </c>
      <c r="C159" s="75">
        <v>-1792.76</v>
      </c>
      <c r="G159" s="75">
        <v>1792.76</v>
      </c>
      <c r="H159" s="75">
        <v>-1792.76</v>
      </c>
    </row>
    <row r="160" spans="1:8" x14ac:dyDescent="0.25">
      <c r="A160" s="22" t="s">
        <v>264</v>
      </c>
      <c r="B160" s="22" t="s">
        <v>265</v>
      </c>
      <c r="H160" s="75"/>
    </row>
    <row r="161" spans="1:8" x14ac:dyDescent="0.25">
      <c r="A161" s="22" t="s">
        <v>266</v>
      </c>
      <c r="B161" s="22" t="s">
        <v>267</v>
      </c>
      <c r="H161" s="75"/>
    </row>
    <row r="162" spans="1:8" x14ac:dyDescent="0.25">
      <c r="A162" s="22" t="s">
        <v>268</v>
      </c>
      <c r="B162" s="22" t="s">
        <v>269</v>
      </c>
      <c r="C162" s="75">
        <v>-129031.34</v>
      </c>
      <c r="D162" s="75">
        <v>-290000</v>
      </c>
      <c r="E162" s="75">
        <v>55.51</v>
      </c>
      <c r="F162" s="75">
        <v>44.49</v>
      </c>
      <c r="G162" s="75">
        <v>-160968.66</v>
      </c>
      <c r="H162" s="75">
        <f>D162</f>
        <v>-290000</v>
      </c>
    </row>
    <row r="163" spans="1:8" x14ac:dyDescent="0.25">
      <c r="A163" s="22" t="s">
        <v>270</v>
      </c>
      <c r="B163" s="22" t="s">
        <v>271</v>
      </c>
      <c r="C163" s="75">
        <v>-58285.279999999999</v>
      </c>
      <c r="D163" s="75">
        <v>-70000</v>
      </c>
      <c r="E163" s="75">
        <v>16.739999999999998</v>
      </c>
      <c r="F163" s="75">
        <v>83.26</v>
      </c>
      <c r="G163" s="75">
        <v>-11714.72</v>
      </c>
      <c r="H163" s="75">
        <f>C163*2</f>
        <v>-116570.56</v>
      </c>
    </row>
    <row r="164" spans="1:8" x14ac:dyDescent="0.25">
      <c r="A164" s="22" t="s">
        <v>272</v>
      </c>
      <c r="B164" s="22" t="s">
        <v>273</v>
      </c>
      <c r="C164" s="75">
        <v>-425.62</v>
      </c>
      <c r="D164" s="75">
        <v>-28000</v>
      </c>
      <c r="E164" s="75">
        <v>98.48</v>
      </c>
      <c r="F164" s="75">
        <v>1.52</v>
      </c>
      <c r="G164" s="75">
        <v>-27574.38</v>
      </c>
      <c r="H164" s="75">
        <f>D164</f>
        <v>-28000</v>
      </c>
    </row>
    <row r="165" spans="1:8" x14ac:dyDescent="0.25">
      <c r="A165" s="22" t="s">
        <v>274</v>
      </c>
      <c r="B165" s="22" t="s">
        <v>275</v>
      </c>
      <c r="C165" s="75">
        <v>-2603.77</v>
      </c>
      <c r="D165" s="75">
        <v>-15000</v>
      </c>
      <c r="E165" s="75">
        <v>82.64</v>
      </c>
      <c r="F165" s="75">
        <v>17.36</v>
      </c>
      <c r="G165" s="75">
        <v>-12396.23</v>
      </c>
      <c r="H165" s="75">
        <v>-15000</v>
      </c>
    </row>
    <row r="166" spans="1:8" x14ac:dyDescent="0.25">
      <c r="A166" s="22" t="s">
        <v>276</v>
      </c>
      <c r="B166" s="22" t="s">
        <v>277</v>
      </c>
      <c r="C166" s="75">
        <v>-6510.29</v>
      </c>
      <c r="D166" s="75">
        <v>-35000</v>
      </c>
      <c r="E166" s="75">
        <v>81.400000000000006</v>
      </c>
      <c r="F166" s="75">
        <v>18.600000000000001</v>
      </c>
      <c r="G166" s="75">
        <v>-28489.71</v>
      </c>
      <c r="H166" s="75">
        <v>-35000</v>
      </c>
    </row>
    <row r="167" spans="1:8" x14ac:dyDescent="0.25">
      <c r="A167" s="22" t="s">
        <v>278</v>
      </c>
      <c r="B167" s="22" t="s">
        <v>279</v>
      </c>
      <c r="H167" s="75"/>
    </row>
    <row r="168" spans="1:8" x14ac:dyDescent="0.25">
      <c r="A168" s="22" t="s">
        <v>280</v>
      </c>
      <c r="B168" s="22" t="s">
        <v>281</v>
      </c>
      <c r="C168" s="75">
        <v>-17500</v>
      </c>
      <c r="D168" s="75">
        <v>-30000</v>
      </c>
      <c r="E168" s="75">
        <v>41.67</v>
      </c>
      <c r="F168" s="75">
        <v>58.33</v>
      </c>
      <c r="G168" s="75">
        <v>-12500</v>
      </c>
      <c r="H168" s="75">
        <v>-30000</v>
      </c>
    </row>
    <row r="169" spans="1:8" x14ac:dyDescent="0.25">
      <c r="A169" s="22" t="s">
        <v>282</v>
      </c>
      <c r="B169" s="22" t="s">
        <v>283</v>
      </c>
      <c r="C169" s="75">
        <v>-6073.48</v>
      </c>
      <c r="D169" s="75">
        <v>-25000</v>
      </c>
      <c r="E169" s="75">
        <v>75.709999999999994</v>
      </c>
      <c r="F169" s="75">
        <v>24.29</v>
      </c>
      <c r="G169" s="75">
        <v>-18926.52</v>
      </c>
      <c r="H169" s="75">
        <v>-25000</v>
      </c>
    </row>
    <row r="170" spans="1:8" x14ac:dyDescent="0.25">
      <c r="A170" s="22" t="s">
        <v>284</v>
      </c>
      <c r="B170" s="22" t="s">
        <v>285</v>
      </c>
      <c r="H170" s="75"/>
    </row>
    <row r="171" spans="1:8" x14ac:dyDescent="0.25">
      <c r="A171" s="22" t="s">
        <v>286</v>
      </c>
      <c r="B171" s="22" t="s">
        <v>287</v>
      </c>
      <c r="H171" s="75"/>
    </row>
    <row r="172" spans="1:8" x14ac:dyDescent="0.25">
      <c r="A172" s="22" t="s">
        <v>288</v>
      </c>
      <c r="B172" s="22" t="s">
        <v>289</v>
      </c>
      <c r="C172" s="75">
        <v>-4395.5</v>
      </c>
      <c r="G172" s="75">
        <v>4395.5</v>
      </c>
      <c r="H172" s="75">
        <f>C172</f>
        <v>-4395.5</v>
      </c>
    </row>
    <row r="173" spans="1:8" x14ac:dyDescent="0.25">
      <c r="A173" s="22" t="s">
        <v>290</v>
      </c>
      <c r="B173" s="22" t="s">
        <v>291</v>
      </c>
      <c r="D173" s="75">
        <v>-16000</v>
      </c>
      <c r="E173" s="75">
        <v>100</v>
      </c>
      <c r="G173" s="75">
        <v>-16000</v>
      </c>
      <c r="H173" s="75">
        <v>-16000</v>
      </c>
    </row>
    <row r="174" spans="1:8" x14ac:dyDescent="0.25">
      <c r="A174" s="22" t="s">
        <v>292</v>
      </c>
      <c r="B174" s="22" t="s">
        <v>293</v>
      </c>
      <c r="C174" s="75">
        <v>-14381.66</v>
      </c>
      <c r="D174" s="75">
        <v>-42000</v>
      </c>
      <c r="E174" s="75">
        <v>65.760000000000005</v>
      </c>
      <c r="F174" s="75">
        <v>34.24</v>
      </c>
      <c r="G174" s="75">
        <v>-27618.34</v>
      </c>
      <c r="H174" s="75">
        <v>-42000</v>
      </c>
    </row>
    <row r="175" spans="1:8" x14ac:dyDescent="0.25">
      <c r="A175" s="22" t="s">
        <v>294</v>
      </c>
      <c r="B175" s="22" t="s">
        <v>295</v>
      </c>
      <c r="H175" s="75"/>
    </row>
    <row r="176" spans="1:8" x14ac:dyDescent="0.25">
      <c r="A176" s="22" t="s">
        <v>296</v>
      </c>
      <c r="B176" s="22" t="s">
        <v>297</v>
      </c>
      <c r="C176" s="75">
        <v>-2409.44</v>
      </c>
      <c r="D176" s="75">
        <v>-3000</v>
      </c>
      <c r="E176" s="75">
        <v>19.690000000000001</v>
      </c>
      <c r="F176" s="75">
        <v>80.31</v>
      </c>
      <c r="G176" s="75">
        <v>-590.55999999999995</v>
      </c>
      <c r="H176" s="75">
        <v>-3000</v>
      </c>
    </row>
    <row r="177" spans="1:8" x14ac:dyDescent="0.25">
      <c r="A177" s="22" t="s">
        <v>298</v>
      </c>
      <c r="B177" s="22" t="s">
        <v>299</v>
      </c>
      <c r="C177" s="75">
        <v>-47999.97</v>
      </c>
      <c r="D177" s="75">
        <v>-82000</v>
      </c>
      <c r="E177" s="75">
        <v>41.46</v>
      </c>
      <c r="F177" s="75">
        <v>58.54</v>
      </c>
      <c r="G177" s="75">
        <v>-34000.03</v>
      </c>
      <c r="H177" s="75">
        <v>-82000</v>
      </c>
    </row>
    <row r="178" spans="1:8" x14ac:dyDescent="0.25">
      <c r="A178" s="22" t="s">
        <v>300</v>
      </c>
      <c r="B178" s="22" t="s">
        <v>301</v>
      </c>
      <c r="C178" s="75">
        <v>-3294</v>
      </c>
      <c r="G178" s="75">
        <v>3294</v>
      </c>
      <c r="H178" s="75">
        <f>C178</f>
        <v>-3294</v>
      </c>
    </row>
    <row r="179" spans="1:8" x14ac:dyDescent="0.25">
      <c r="A179" s="22" t="s">
        <v>302</v>
      </c>
      <c r="B179" s="22" t="s">
        <v>303</v>
      </c>
      <c r="C179" s="75">
        <v>-6436</v>
      </c>
      <c r="D179" s="75">
        <v>-18000</v>
      </c>
      <c r="E179" s="75">
        <v>64.239999999999995</v>
      </c>
      <c r="F179" s="75">
        <v>35.76</v>
      </c>
      <c r="G179" s="75">
        <v>-11564</v>
      </c>
      <c r="H179" s="75">
        <v>-18000</v>
      </c>
    </row>
    <row r="180" spans="1:8" x14ac:dyDescent="0.25">
      <c r="A180" s="22" t="s">
        <v>304</v>
      </c>
      <c r="B180" s="22" t="s">
        <v>305</v>
      </c>
      <c r="D180" s="75">
        <v>-10000</v>
      </c>
      <c r="E180" s="75">
        <v>100</v>
      </c>
      <c r="G180" s="75">
        <v>-10000</v>
      </c>
      <c r="H180" s="75">
        <v>-5000</v>
      </c>
    </row>
    <row r="181" spans="1:8" x14ac:dyDescent="0.25">
      <c r="A181" s="22" t="s">
        <v>306</v>
      </c>
      <c r="B181" s="22" t="s">
        <v>307</v>
      </c>
      <c r="D181" s="75">
        <v>-30000</v>
      </c>
      <c r="E181" s="75">
        <v>100</v>
      </c>
      <c r="G181" s="75">
        <v>-30000</v>
      </c>
      <c r="H181" s="75">
        <v>-30000</v>
      </c>
    </row>
    <row r="182" spans="1:8" x14ac:dyDescent="0.25">
      <c r="A182" s="22" t="s">
        <v>308</v>
      </c>
      <c r="B182" s="22" t="s">
        <v>309</v>
      </c>
      <c r="C182" s="75">
        <v>-14696.4</v>
      </c>
      <c r="D182" s="75">
        <v>-20000</v>
      </c>
      <c r="E182" s="75">
        <v>26.52</v>
      </c>
      <c r="F182" s="75">
        <v>73.48</v>
      </c>
      <c r="G182" s="75">
        <v>-5303.6</v>
      </c>
      <c r="H182" s="75">
        <v>-20000</v>
      </c>
    </row>
    <row r="183" spans="1:8" x14ac:dyDescent="0.25">
      <c r="A183" s="22" t="s">
        <v>310</v>
      </c>
      <c r="B183" s="22" t="s">
        <v>311</v>
      </c>
      <c r="H183" s="75"/>
    </row>
    <row r="184" spans="1:8" x14ac:dyDescent="0.25">
      <c r="A184" s="22" t="s">
        <v>312</v>
      </c>
      <c r="B184" s="22" t="s">
        <v>313</v>
      </c>
      <c r="C184" s="75">
        <v>-7605.59</v>
      </c>
      <c r="D184" s="75">
        <v>-52166.68</v>
      </c>
      <c r="E184" s="75">
        <v>85.42</v>
      </c>
      <c r="F184" s="75">
        <v>14.58</v>
      </c>
      <c r="G184" s="75">
        <v>-44561.09</v>
      </c>
      <c r="H184" s="75">
        <v>-52166.68</v>
      </c>
    </row>
    <row r="185" spans="1:8" x14ac:dyDescent="0.25">
      <c r="A185" s="22" t="s">
        <v>314</v>
      </c>
      <c r="B185" s="22" t="s">
        <v>315</v>
      </c>
      <c r="C185" s="75">
        <v>-20245</v>
      </c>
      <c r="D185" s="75">
        <v>-43500</v>
      </c>
      <c r="E185" s="75">
        <v>53.46</v>
      </c>
      <c r="F185" s="75">
        <v>46.54</v>
      </c>
      <c r="G185" s="75">
        <v>-23255</v>
      </c>
      <c r="H185" s="75">
        <v>-43500</v>
      </c>
    </row>
    <row r="186" spans="1:8" x14ac:dyDescent="0.25">
      <c r="A186" s="22" t="s">
        <v>316</v>
      </c>
      <c r="B186" s="22" t="s">
        <v>317</v>
      </c>
      <c r="C186" s="75">
        <v>-1487.32</v>
      </c>
      <c r="D186" s="75">
        <v>-12000</v>
      </c>
      <c r="E186" s="75">
        <v>87.61</v>
      </c>
      <c r="F186" s="75">
        <v>12.39</v>
      </c>
      <c r="G186" s="75">
        <v>-10512.68</v>
      </c>
      <c r="H186" s="75">
        <v>-12000</v>
      </c>
    </row>
    <row r="187" spans="1:8" x14ac:dyDescent="0.25">
      <c r="A187" s="22" t="s">
        <v>318</v>
      </c>
      <c r="B187" s="22" t="s">
        <v>319</v>
      </c>
      <c r="C187" s="75">
        <v>-6401.59</v>
      </c>
      <c r="D187" s="75">
        <v>-180000</v>
      </c>
      <c r="E187" s="75">
        <v>96.44</v>
      </c>
      <c r="F187" s="75">
        <v>3.56</v>
      </c>
      <c r="G187" s="75">
        <v>-173598.41</v>
      </c>
      <c r="H187" s="75">
        <v>-180000</v>
      </c>
    </row>
    <row r="188" spans="1:8" x14ac:dyDescent="0.25">
      <c r="A188" s="22" t="s">
        <v>320</v>
      </c>
      <c r="B188" s="22" t="s">
        <v>321</v>
      </c>
      <c r="C188" s="75">
        <v>-3942.97</v>
      </c>
      <c r="D188" s="75">
        <v>-41733.33</v>
      </c>
      <c r="E188" s="75">
        <v>90.55</v>
      </c>
      <c r="F188" s="75">
        <v>9.4499999999999993</v>
      </c>
      <c r="G188" s="75">
        <v>-37790.36</v>
      </c>
      <c r="H188" s="75">
        <v>-41733.33</v>
      </c>
    </row>
    <row r="189" spans="1:8" x14ac:dyDescent="0.25">
      <c r="A189" s="22" t="s">
        <v>322</v>
      </c>
      <c r="B189" s="22" t="s">
        <v>323</v>
      </c>
      <c r="C189" s="75">
        <v>-108075.25</v>
      </c>
      <c r="D189" s="75">
        <v>-828340</v>
      </c>
      <c r="E189" s="75">
        <v>86.95</v>
      </c>
      <c r="F189" s="75">
        <v>13.05</v>
      </c>
      <c r="G189" s="75">
        <v>-720264.75</v>
      </c>
      <c r="H189" s="75">
        <v>-828340</v>
      </c>
    </row>
    <row r="190" spans="1:8" x14ac:dyDescent="0.25">
      <c r="A190" s="22" t="s">
        <v>324</v>
      </c>
      <c r="B190" s="22" t="s">
        <v>325</v>
      </c>
      <c r="H190" s="75"/>
    </row>
    <row r="191" spans="1:8" x14ac:dyDescent="0.25">
      <c r="A191" s="22" t="s">
        <v>326</v>
      </c>
      <c r="B191" s="22" t="s">
        <v>327</v>
      </c>
      <c r="H191" s="75"/>
    </row>
    <row r="192" spans="1:8" x14ac:dyDescent="0.25">
      <c r="A192" s="22" t="s">
        <v>328</v>
      </c>
      <c r="B192" s="22" t="s">
        <v>329</v>
      </c>
      <c r="H192" s="75"/>
    </row>
    <row r="193" spans="1:8" x14ac:dyDescent="0.25">
      <c r="A193" s="22" t="s">
        <v>330</v>
      </c>
      <c r="B193" s="22" t="s">
        <v>331</v>
      </c>
      <c r="C193" s="75">
        <v>-11509.22</v>
      </c>
      <c r="D193" s="75">
        <v>-40000</v>
      </c>
      <c r="E193" s="75">
        <v>71.23</v>
      </c>
      <c r="F193" s="75">
        <v>28.77</v>
      </c>
      <c r="G193" s="75">
        <v>-28490.78</v>
      </c>
      <c r="H193" s="75">
        <v>-40000</v>
      </c>
    </row>
    <row r="194" spans="1:8" x14ac:dyDescent="0.25">
      <c r="A194" s="22" t="s">
        <v>332</v>
      </c>
      <c r="B194" s="22" t="s">
        <v>333</v>
      </c>
    </row>
    <row r="195" spans="1:8" x14ac:dyDescent="0.25">
      <c r="A195" s="22" t="s">
        <v>334</v>
      </c>
      <c r="B195" s="22" t="s">
        <v>335</v>
      </c>
    </row>
    <row r="196" spans="1:8" x14ac:dyDescent="0.25">
      <c r="A196" s="22" t="s">
        <v>336</v>
      </c>
      <c r="B196" s="22" t="s">
        <v>337</v>
      </c>
    </row>
    <row r="197" spans="1:8" x14ac:dyDescent="0.25">
      <c r="A197" s="22" t="s">
        <v>338</v>
      </c>
      <c r="B197" s="22" t="s">
        <v>339</v>
      </c>
    </row>
    <row r="198" spans="1:8" x14ac:dyDescent="0.25">
      <c r="A198" s="23" t="s">
        <v>340</v>
      </c>
      <c r="B198" s="23" t="s">
        <v>341</v>
      </c>
      <c r="C198" s="76">
        <v>-1455443.2</v>
      </c>
      <c r="D198" s="76">
        <v>-3166056.04</v>
      </c>
      <c r="E198" s="76">
        <v>54.03</v>
      </c>
      <c r="F198" s="76">
        <v>45.97</v>
      </c>
      <c r="G198" s="76">
        <v>-1710612.84</v>
      </c>
      <c r="H198" s="73">
        <f>SUM(H139:H197)</f>
        <v>-3896119.6721999999</v>
      </c>
    </row>
    <row r="199" spans="1:8" x14ac:dyDescent="0.25">
      <c r="A199" s="22" t="s">
        <v>12</v>
      </c>
      <c r="B199" s="22" t="s">
        <v>12</v>
      </c>
    </row>
    <row r="200" spans="1:8" x14ac:dyDescent="0.25">
      <c r="A200" s="23" t="s">
        <v>342</v>
      </c>
      <c r="B200" s="23" t="s">
        <v>343</v>
      </c>
      <c r="C200" s="76"/>
      <c r="D200" s="76"/>
      <c r="E200" s="76"/>
      <c r="F200" s="76"/>
      <c r="G200" s="76"/>
      <c r="H200" s="73"/>
    </row>
    <row r="201" spans="1:8" x14ac:dyDescent="0.25">
      <c r="A201" s="22" t="s">
        <v>344</v>
      </c>
      <c r="B201" s="22" t="s">
        <v>345</v>
      </c>
    </row>
    <row r="202" spans="1:8" x14ac:dyDescent="0.25">
      <c r="A202" s="22" t="s">
        <v>346</v>
      </c>
      <c r="B202" s="22" t="s">
        <v>347</v>
      </c>
    </row>
    <row r="203" spans="1:8" x14ac:dyDescent="0.25">
      <c r="A203" s="22" t="s">
        <v>348</v>
      </c>
      <c r="B203" s="22" t="s">
        <v>349</v>
      </c>
    </row>
    <row r="204" spans="1:8" x14ac:dyDescent="0.25">
      <c r="A204" s="22" t="s">
        <v>350</v>
      </c>
      <c r="B204" s="22" t="s">
        <v>351</v>
      </c>
    </row>
    <row r="205" spans="1:8" x14ac:dyDescent="0.25">
      <c r="A205" s="22" t="s">
        <v>352</v>
      </c>
      <c r="B205" s="22" t="s">
        <v>353</v>
      </c>
    </row>
    <row r="206" spans="1:8" x14ac:dyDescent="0.25">
      <c r="A206" s="22" t="s">
        <v>354</v>
      </c>
      <c r="B206" s="22" t="s">
        <v>355</v>
      </c>
    </row>
    <row r="207" spans="1:8" x14ac:dyDescent="0.25">
      <c r="A207" s="22" t="s">
        <v>356</v>
      </c>
      <c r="B207" s="22" t="s">
        <v>357</v>
      </c>
    </row>
    <row r="208" spans="1:8" x14ac:dyDescent="0.25">
      <c r="A208" s="22" t="s">
        <v>358</v>
      </c>
      <c r="B208" s="22" t="s">
        <v>359</v>
      </c>
    </row>
    <row r="209" spans="1:8" x14ac:dyDescent="0.25">
      <c r="A209" s="23" t="s">
        <v>360</v>
      </c>
      <c r="B209" s="23" t="s">
        <v>361</v>
      </c>
      <c r="C209" s="76"/>
      <c r="D209" s="76"/>
      <c r="E209" s="76"/>
      <c r="F209" s="76"/>
      <c r="G209" s="76"/>
      <c r="H209" s="73">
        <f>SUM(H201:H208)</f>
        <v>0</v>
      </c>
    </row>
    <row r="210" spans="1:8" x14ac:dyDescent="0.25">
      <c r="A210" s="22" t="s">
        <v>12</v>
      </c>
      <c r="B210" s="22" t="s">
        <v>12</v>
      </c>
    </row>
    <row r="211" spans="1:8" x14ac:dyDescent="0.25">
      <c r="A211" s="23" t="s">
        <v>362</v>
      </c>
      <c r="B211" s="23" t="s">
        <v>40</v>
      </c>
      <c r="C211" s="76"/>
      <c r="D211" s="76"/>
      <c r="E211" s="76"/>
      <c r="F211" s="76"/>
      <c r="G211" s="76"/>
      <c r="H211" s="73"/>
    </row>
    <row r="212" spans="1:8" x14ac:dyDescent="0.25">
      <c r="A212" s="22" t="s">
        <v>363</v>
      </c>
      <c r="B212" s="22" t="s">
        <v>364</v>
      </c>
    </row>
    <row r="213" spans="1:8" x14ac:dyDescent="0.25">
      <c r="A213" s="22" t="s">
        <v>365</v>
      </c>
      <c r="B213" s="22" t="s">
        <v>366</v>
      </c>
      <c r="C213" s="75">
        <v>-113199.39</v>
      </c>
      <c r="D213" s="75">
        <v>-261000</v>
      </c>
      <c r="E213" s="75">
        <v>56.63</v>
      </c>
      <c r="F213" s="75">
        <v>43.37</v>
      </c>
      <c r="G213" s="75">
        <v>-147800.60999999999</v>
      </c>
      <c r="H213" s="56">
        <v>-250000</v>
      </c>
    </row>
    <row r="214" spans="1:8" x14ac:dyDescent="0.25">
      <c r="A214" s="22" t="s">
        <v>367</v>
      </c>
      <c r="B214" s="22" t="s">
        <v>368</v>
      </c>
      <c r="C214" s="75">
        <v>-65</v>
      </c>
      <c r="G214" s="75">
        <v>65</v>
      </c>
      <c r="H214" s="56">
        <f>C214</f>
        <v>-65</v>
      </c>
    </row>
    <row r="215" spans="1:8" x14ac:dyDescent="0.25">
      <c r="A215" s="22" t="s">
        <v>369</v>
      </c>
      <c r="B215" s="22" t="s">
        <v>370</v>
      </c>
      <c r="C215" s="75">
        <v>-851.03</v>
      </c>
      <c r="G215" s="75">
        <v>851.03</v>
      </c>
      <c r="H215" s="56">
        <f>C215</f>
        <v>-851.03</v>
      </c>
    </row>
    <row r="216" spans="1:8" x14ac:dyDescent="0.25">
      <c r="A216" s="22" t="s">
        <v>371</v>
      </c>
      <c r="B216" s="22" t="s">
        <v>372</v>
      </c>
    </row>
    <row r="217" spans="1:8" x14ac:dyDescent="0.25">
      <c r="A217" s="22" t="s">
        <v>373</v>
      </c>
      <c r="B217" s="22" t="s">
        <v>374</v>
      </c>
    </row>
    <row r="218" spans="1:8" x14ac:dyDescent="0.25">
      <c r="A218" s="22" t="s">
        <v>375</v>
      </c>
      <c r="B218" s="22" t="s">
        <v>376</v>
      </c>
    </row>
    <row r="219" spans="1:8" x14ac:dyDescent="0.25">
      <c r="A219" s="23" t="s">
        <v>377</v>
      </c>
      <c r="B219" s="23" t="s">
        <v>378</v>
      </c>
      <c r="C219" s="76">
        <v>-114115.42</v>
      </c>
      <c r="D219" s="76">
        <v>-261000</v>
      </c>
      <c r="E219" s="76">
        <v>56.28</v>
      </c>
      <c r="F219" s="76">
        <v>43.72</v>
      </c>
      <c r="G219" s="76">
        <v>-146884.57999999999</v>
      </c>
      <c r="H219" s="73">
        <f>SUM(H212:H218)</f>
        <v>-250916.03</v>
      </c>
    </row>
    <row r="220" spans="1:8" x14ac:dyDescent="0.25">
      <c r="A220" s="22" t="s">
        <v>12</v>
      </c>
      <c r="B220" s="22" t="s">
        <v>12</v>
      </c>
    </row>
    <row r="221" spans="1:8" x14ac:dyDescent="0.25">
      <c r="A221" s="23" t="s">
        <v>379</v>
      </c>
      <c r="B221" s="23" t="s">
        <v>380</v>
      </c>
      <c r="C221" s="76"/>
      <c r="D221" s="76"/>
      <c r="E221" s="76"/>
      <c r="F221" s="76"/>
      <c r="G221" s="76"/>
      <c r="H221" s="73"/>
    </row>
    <row r="222" spans="1:8" x14ac:dyDescent="0.25">
      <c r="A222" s="22" t="s">
        <v>381</v>
      </c>
      <c r="B222" s="22" t="s">
        <v>380</v>
      </c>
    </row>
    <row r="223" spans="1:8" x14ac:dyDescent="0.25">
      <c r="A223" s="23" t="s">
        <v>382</v>
      </c>
      <c r="B223" s="23" t="s">
        <v>383</v>
      </c>
      <c r="C223" s="76"/>
      <c r="D223" s="76"/>
      <c r="E223" s="76"/>
      <c r="F223" s="76"/>
      <c r="G223" s="76"/>
      <c r="H223" s="73">
        <f>H222</f>
        <v>0</v>
      </c>
    </row>
    <row r="224" spans="1:8" x14ac:dyDescent="0.25">
      <c r="A224" s="22" t="s">
        <v>12</v>
      </c>
      <c r="B224" s="22" t="s">
        <v>12</v>
      </c>
    </row>
    <row r="225" spans="1:8" x14ac:dyDescent="0.25">
      <c r="A225" s="23" t="s">
        <v>384</v>
      </c>
      <c r="B225" s="23" t="s">
        <v>385</v>
      </c>
      <c r="C225" s="76"/>
      <c r="D225" s="76"/>
      <c r="E225" s="76"/>
      <c r="F225" s="76"/>
      <c r="G225" s="76"/>
      <c r="H225" s="73"/>
    </row>
    <row r="226" spans="1:8" x14ac:dyDescent="0.25">
      <c r="A226" s="22" t="s">
        <v>386</v>
      </c>
      <c r="B226" s="22" t="s">
        <v>385</v>
      </c>
    </row>
    <row r="227" spans="1:8" x14ac:dyDescent="0.25">
      <c r="A227" s="23" t="s">
        <v>387</v>
      </c>
      <c r="B227" s="23" t="s">
        <v>388</v>
      </c>
      <c r="C227" s="76"/>
      <c r="D227" s="76"/>
      <c r="E227" s="76"/>
      <c r="F227" s="76"/>
      <c r="G227" s="76"/>
      <c r="H227" s="73">
        <f>H226</f>
        <v>0</v>
      </c>
    </row>
    <row r="228" spans="1:8" x14ac:dyDescent="0.25">
      <c r="A228" s="22" t="s">
        <v>12</v>
      </c>
      <c r="B228" s="22" t="s">
        <v>12</v>
      </c>
    </row>
    <row r="229" spans="1:8" ht="15.75" thickBot="1" x14ac:dyDescent="0.3">
      <c r="A229" s="24" t="s">
        <v>389</v>
      </c>
      <c r="B229" s="24" t="s">
        <v>390</v>
      </c>
      <c r="C229" s="77">
        <v>-1861608.81</v>
      </c>
      <c r="D229" s="77">
        <v>-1305538.25</v>
      </c>
      <c r="E229" s="77">
        <v>-42.59</v>
      </c>
      <c r="F229" s="77">
        <v>142.59</v>
      </c>
      <c r="G229" s="77">
        <v>556070.56000000006</v>
      </c>
      <c r="H229" s="74">
        <f>H219+H209+H223+H227+H198+H136+H127</f>
        <v>-2491488.856898597</v>
      </c>
    </row>
    <row r="230" spans="1:8" ht="15.75" thickTop="1" x14ac:dyDescent="0.25">
      <c r="A230" s="22" t="s">
        <v>12</v>
      </c>
      <c r="B230" s="22" t="s">
        <v>12</v>
      </c>
    </row>
    <row r="231" spans="1:8" x14ac:dyDescent="0.25">
      <c r="A231" s="23" t="s">
        <v>391</v>
      </c>
      <c r="B231" s="23" t="s">
        <v>392</v>
      </c>
      <c r="C231" s="76"/>
      <c r="D231" s="76"/>
      <c r="E231" s="76"/>
      <c r="F231" s="76"/>
      <c r="G231" s="76"/>
      <c r="H231" s="73"/>
    </row>
    <row r="232" spans="1:8" x14ac:dyDescent="0.25">
      <c r="A232" s="22" t="s">
        <v>393</v>
      </c>
      <c r="B232" s="22" t="s">
        <v>394</v>
      </c>
    </row>
    <row r="233" spans="1:8" x14ac:dyDescent="0.25">
      <c r="A233" s="22" t="s">
        <v>395</v>
      </c>
      <c r="B233" s="22" t="s">
        <v>396</v>
      </c>
    </row>
    <row r="234" spans="1:8" x14ac:dyDescent="0.25">
      <c r="A234" s="22" t="s">
        <v>397</v>
      </c>
      <c r="B234" s="22" t="s">
        <v>398</v>
      </c>
    </row>
    <row r="235" spans="1:8" x14ac:dyDescent="0.25">
      <c r="A235" s="23" t="s">
        <v>399</v>
      </c>
      <c r="B235" s="23" t="s">
        <v>400</v>
      </c>
      <c r="C235" s="76"/>
      <c r="D235" s="76"/>
      <c r="E235" s="76"/>
      <c r="F235" s="76"/>
      <c r="G235" s="76"/>
      <c r="H235" s="73">
        <f>SUM(H232:H234)</f>
        <v>0</v>
      </c>
    </row>
    <row r="236" spans="1:8" x14ac:dyDescent="0.25">
      <c r="A236" s="22" t="s">
        <v>12</v>
      </c>
      <c r="B236" s="22" t="s">
        <v>12</v>
      </c>
    </row>
    <row r="237" spans="1:8" ht="15.75" thickBot="1" x14ac:dyDescent="0.3">
      <c r="A237" s="24" t="s">
        <v>12</v>
      </c>
      <c r="B237" s="24" t="s">
        <v>46</v>
      </c>
      <c r="C237" s="77">
        <v>-1861608.81</v>
      </c>
      <c r="D237" s="77">
        <v>-1305538.25</v>
      </c>
      <c r="E237" s="77">
        <v>-42.59</v>
      </c>
      <c r="F237" s="77">
        <v>142.59</v>
      </c>
      <c r="G237" s="77">
        <v>556070.56000000006</v>
      </c>
      <c r="H237" s="74">
        <f>H229+H235</f>
        <v>-2491488.856898597</v>
      </c>
    </row>
    <row r="238" spans="1:8" ht="15.75" thickTop="1" x14ac:dyDescent="0.25">
      <c r="A238" s="22" t="s">
        <v>12</v>
      </c>
      <c r="B238" s="22" t="s">
        <v>12</v>
      </c>
    </row>
    <row r="239" spans="1:8" x14ac:dyDescent="0.25">
      <c r="A239" s="22" t="s">
        <v>401</v>
      </c>
      <c r="B239" s="22" t="s">
        <v>402</v>
      </c>
    </row>
    <row r="240" spans="1:8" x14ac:dyDescent="0.25">
      <c r="A240" s="22" t="s">
        <v>403</v>
      </c>
      <c r="B240" s="22" t="s">
        <v>404</v>
      </c>
      <c r="C240" s="75">
        <v>85929.24</v>
      </c>
      <c r="G240" s="75">
        <v>-85929.24</v>
      </c>
      <c r="H240" s="56">
        <f>D240</f>
        <v>0</v>
      </c>
    </row>
    <row r="241" spans="1:8" x14ac:dyDescent="0.25">
      <c r="A241" s="22" t="s">
        <v>405</v>
      </c>
      <c r="B241" s="22" t="s">
        <v>406</v>
      </c>
      <c r="C241" s="75">
        <v>-462116.23</v>
      </c>
      <c r="D241" s="75">
        <v>-747623.86</v>
      </c>
      <c r="E241" s="75">
        <v>38.19</v>
      </c>
      <c r="F241" s="75">
        <v>61.81</v>
      </c>
      <c r="G241" s="75">
        <v>-285507.63</v>
      </c>
      <c r="H241" s="56">
        <v>-924232.57</v>
      </c>
    </row>
    <row r="242" spans="1:8" x14ac:dyDescent="0.25">
      <c r="A242" s="22" t="s">
        <v>407</v>
      </c>
      <c r="B242" s="22" t="s">
        <v>408</v>
      </c>
    </row>
    <row r="243" spans="1:8" x14ac:dyDescent="0.25">
      <c r="A243" s="23" t="s">
        <v>409</v>
      </c>
      <c r="B243" s="23" t="s">
        <v>410</v>
      </c>
      <c r="C243" s="76">
        <v>-376186.99</v>
      </c>
      <c r="D243" s="76">
        <v>-747623.86</v>
      </c>
      <c r="E243" s="76">
        <v>49.68</v>
      </c>
      <c r="F243" s="76">
        <v>50.32</v>
      </c>
      <c r="G243" s="76">
        <v>-371436.87</v>
      </c>
      <c r="H243" s="73">
        <f>SUM(H239:H242)</f>
        <v>-924232.57</v>
      </c>
    </row>
    <row r="244" spans="1:8" x14ac:dyDescent="0.25">
      <c r="A244" s="22" t="s">
        <v>12</v>
      </c>
      <c r="B244" s="22" t="s">
        <v>12</v>
      </c>
    </row>
    <row r="245" spans="1:8" ht="15.75" thickBot="1" x14ac:dyDescent="0.3">
      <c r="A245" s="24" t="s">
        <v>411</v>
      </c>
      <c r="B245" s="24" t="s">
        <v>49</v>
      </c>
      <c r="C245" s="77">
        <v>-2237795.7999999998</v>
      </c>
      <c r="D245" s="77">
        <v>-2053162.11</v>
      </c>
      <c r="E245" s="77">
        <v>-8.99</v>
      </c>
      <c r="F245" s="77">
        <v>108.99</v>
      </c>
      <c r="G245" s="77">
        <v>184633.69</v>
      </c>
      <c r="H245" s="74">
        <f>+H237+H243</f>
        <v>-3415721.4268985968</v>
      </c>
    </row>
    <row r="246" spans="1:8" ht="15.75" thickTop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46"/>
  <sheetViews>
    <sheetView workbookViewId="0">
      <selection activeCell="H140" sqref="H140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3" width="13.28515625" style="75" bestFit="1" customWidth="1"/>
    <col min="4" max="4" width="8" style="75" bestFit="1" customWidth="1"/>
    <col min="5" max="5" width="10.28515625" style="75" bestFit="1" customWidth="1"/>
    <col min="6" max="6" width="19.42578125" style="75" bestFit="1" customWidth="1"/>
    <col min="7" max="7" width="14" style="75" bestFit="1" customWidth="1"/>
    <col min="8" max="8" width="14.28515625" style="7" bestFit="1" customWidth="1"/>
  </cols>
  <sheetData>
    <row r="1" spans="1:8" x14ac:dyDescent="0.25">
      <c r="A1" s="11" t="s">
        <v>0</v>
      </c>
      <c r="B1" s="10"/>
    </row>
    <row r="2" spans="1:8" x14ac:dyDescent="0.25">
      <c r="A2" s="12" t="s">
        <v>1</v>
      </c>
      <c r="B2" s="12" t="s">
        <v>2</v>
      </c>
    </row>
    <row r="3" spans="1:8" x14ac:dyDescent="0.25">
      <c r="A3" s="12" t="s">
        <v>3</v>
      </c>
      <c r="B3" s="12" t="s">
        <v>4</v>
      </c>
    </row>
    <row r="4" spans="1:8" x14ac:dyDescent="0.25">
      <c r="A4" s="12" t="s">
        <v>412</v>
      </c>
      <c r="B4" s="12" t="s">
        <v>413</v>
      </c>
    </row>
    <row r="6" spans="1:8" x14ac:dyDescent="0.25">
      <c r="A6" s="12" t="s">
        <v>5</v>
      </c>
      <c r="B6" s="12" t="s">
        <v>6</v>
      </c>
    </row>
    <row r="8" spans="1:8" x14ac:dyDescent="0.25">
      <c r="A8" s="10"/>
      <c r="B8" s="10"/>
      <c r="C8" s="75" t="s">
        <v>7</v>
      </c>
      <c r="D8" s="75" t="s">
        <v>8</v>
      </c>
      <c r="E8" s="75" t="s">
        <v>9</v>
      </c>
      <c r="F8" s="75" t="s">
        <v>10</v>
      </c>
      <c r="G8" s="75" t="s">
        <v>11</v>
      </c>
      <c r="H8" s="7" t="s">
        <v>428</v>
      </c>
    </row>
    <row r="9" spans="1:8" x14ac:dyDescent="0.25">
      <c r="A9" s="13" t="s">
        <v>12</v>
      </c>
      <c r="B9" s="13" t="s">
        <v>13</v>
      </c>
      <c r="C9" s="76"/>
      <c r="D9" s="76"/>
      <c r="E9" s="76"/>
      <c r="F9" s="76"/>
      <c r="G9" s="76"/>
      <c r="H9" s="8"/>
    </row>
    <row r="10" spans="1:8" x14ac:dyDescent="0.25">
      <c r="A10" s="12" t="s">
        <v>12</v>
      </c>
      <c r="B10" s="12" t="s">
        <v>12</v>
      </c>
    </row>
    <row r="11" spans="1:8" x14ac:dyDescent="0.25">
      <c r="A11" s="12" t="s">
        <v>14</v>
      </c>
      <c r="B11" s="12" t="s">
        <v>15</v>
      </c>
      <c r="C11" s="75">
        <v>10787119.16</v>
      </c>
      <c r="G11" s="75">
        <v>-10787119.16</v>
      </c>
      <c r="H11" s="7">
        <f>H46</f>
        <v>10084132.370000001</v>
      </c>
    </row>
    <row r="12" spans="1:8" x14ac:dyDescent="0.25">
      <c r="A12" s="12" t="s">
        <v>16</v>
      </c>
      <c r="B12" s="12" t="s">
        <v>17</v>
      </c>
      <c r="H12" s="7">
        <f>H59</f>
        <v>0</v>
      </c>
    </row>
    <row r="13" spans="1:8" x14ac:dyDescent="0.25">
      <c r="A13" s="12" t="s">
        <v>18</v>
      </c>
      <c r="B13" s="12" t="s">
        <v>19</v>
      </c>
      <c r="H13" s="7">
        <f>H63</f>
        <v>0</v>
      </c>
    </row>
    <row r="14" spans="1:8" x14ac:dyDescent="0.25">
      <c r="A14" s="13" t="s">
        <v>20</v>
      </c>
      <c r="B14" s="13" t="s">
        <v>21</v>
      </c>
      <c r="C14" s="76">
        <v>10787119.16</v>
      </c>
      <c r="D14" s="76"/>
      <c r="E14" s="76"/>
      <c r="F14" s="76"/>
      <c r="G14" s="76">
        <v>-10787119.16</v>
      </c>
      <c r="H14" s="8">
        <f>SUM(H11:H13)</f>
        <v>10084132.370000001</v>
      </c>
    </row>
    <row r="15" spans="1:8" x14ac:dyDescent="0.25">
      <c r="A15" s="12" t="s">
        <v>12</v>
      </c>
      <c r="B15" s="12" t="s">
        <v>12</v>
      </c>
    </row>
    <row r="16" spans="1:8" x14ac:dyDescent="0.25">
      <c r="A16" s="13" t="s">
        <v>12</v>
      </c>
      <c r="B16" s="13" t="s">
        <v>22</v>
      </c>
      <c r="C16" s="76"/>
      <c r="D16" s="76"/>
      <c r="E16" s="76"/>
      <c r="F16" s="76"/>
      <c r="G16" s="76"/>
      <c r="H16" s="8"/>
    </row>
    <row r="17" spans="1:8" x14ac:dyDescent="0.25">
      <c r="A17" s="12" t="s">
        <v>23</v>
      </c>
      <c r="B17" s="12" t="s">
        <v>24</v>
      </c>
    </row>
    <row r="18" spans="1:8" x14ac:dyDescent="0.25">
      <c r="A18" s="12" t="s">
        <v>25</v>
      </c>
      <c r="B18" s="12" t="s">
        <v>26</v>
      </c>
      <c r="H18" s="7">
        <f>H77</f>
        <v>0</v>
      </c>
    </row>
    <row r="19" spans="1:8" x14ac:dyDescent="0.25">
      <c r="A19" s="12" t="s">
        <v>27</v>
      </c>
      <c r="B19" s="12" t="s">
        <v>28</v>
      </c>
    </row>
    <row r="20" spans="1:8" x14ac:dyDescent="0.25">
      <c r="A20" s="12" t="s">
        <v>12</v>
      </c>
      <c r="B20" s="12" t="s">
        <v>12</v>
      </c>
    </row>
    <row r="21" spans="1:8" x14ac:dyDescent="0.25">
      <c r="A21" s="12" t="s">
        <v>29</v>
      </c>
      <c r="B21" s="12" t="s">
        <v>30</v>
      </c>
      <c r="H21" s="7">
        <f>H123</f>
        <v>0</v>
      </c>
    </row>
    <row r="22" spans="1:8" x14ac:dyDescent="0.25">
      <c r="A22" s="13" t="s">
        <v>31</v>
      </c>
      <c r="B22" s="13" t="s">
        <v>32</v>
      </c>
      <c r="C22" s="76"/>
      <c r="D22" s="76"/>
      <c r="E22" s="76"/>
      <c r="F22" s="76"/>
      <c r="G22" s="76"/>
      <c r="H22" s="8">
        <f>H21</f>
        <v>0</v>
      </c>
    </row>
    <row r="23" spans="1:8" x14ac:dyDescent="0.25">
      <c r="A23" s="12" t="s">
        <v>12</v>
      </c>
      <c r="B23" s="12" t="s">
        <v>12</v>
      </c>
    </row>
    <row r="24" spans="1:8" x14ac:dyDescent="0.25">
      <c r="A24" s="12" t="s">
        <v>33</v>
      </c>
      <c r="B24" s="12" t="s">
        <v>34</v>
      </c>
      <c r="H24" s="7">
        <f>H136</f>
        <v>0</v>
      </c>
    </row>
    <row r="25" spans="1:8" x14ac:dyDescent="0.25">
      <c r="A25" s="12" t="s">
        <v>35</v>
      </c>
      <c r="B25" s="12" t="s">
        <v>36</v>
      </c>
      <c r="H25" s="7">
        <f>H198</f>
        <v>-5370000</v>
      </c>
    </row>
    <row r="26" spans="1:8" x14ac:dyDescent="0.25">
      <c r="A26" s="12" t="s">
        <v>37</v>
      </c>
      <c r="B26" s="12" t="s">
        <v>38</v>
      </c>
      <c r="H26" s="7">
        <f>H209</f>
        <v>0</v>
      </c>
    </row>
    <row r="27" spans="1:8" x14ac:dyDescent="0.25">
      <c r="A27" s="12" t="s">
        <v>39</v>
      </c>
      <c r="B27" s="12" t="s">
        <v>40</v>
      </c>
      <c r="H27" s="7">
        <f>H219</f>
        <v>0</v>
      </c>
    </row>
    <row r="28" spans="1:8" x14ac:dyDescent="0.25">
      <c r="A28" s="12" t="s">
        <v>41</v>
      </c>
      <c r="B28" s="12" t="s">
        <v>42</v>
      </c>
      <c r="H28" s="7">
        <f>H223</f>
        <v>0</v>
      </c>
    </row>
    <row r="29" spans="1:8" x14ac:dyDescent="0.25">
      <c r="A29" s="12" t="s">
        <v>43</v>
      </c>
      <c r="B29" s="12" t="s">
        <v>44</v>
      </c>
      <c r="H29" s="7">
        <f>H227</f>
        <v>0</v>
      </c>
    </row>
    <row r="30" spans="1:8" x14ac:dyDescent="0.25">
      <c r="A30" s="12" t="s">
        <v>12</v>
      </c>
      <c r="B30" s="12" t="s">
        <v>12</v>
      </c>
    </row>
    <row r="31" spans="1:8" ht="15.75" thickBot="1" x14ac:dyDescent="0.3">
      <c r="A31" s="14" t="s">
        <v>45</v>
      </c>
      <c r="B31" s="14" t="s">
        <v>46</v>
      </c>
      <c r="C31" s="77">
        <v>10787119.16</v>
      </c>
      <c r="D31" s="77"/>
      <c r="E31" s="77"/>
      <c r="F31" s="77"/>
      <c r="G31" s="77">
        <v>-10787119.16</v>
      </c>
      <c r="H31" s="9">
        <f>H14+H18+H22+H24+H25+H26+H27</f>
        <v>4714132.370000001</v>
      </c>
    </row>
    <row r="32" spans="1:8" ht="15.75" thickTop="1" x14ac:dyDescent="0.25">
      <c r="A32" s="12" t="s">
        <v>12</v>
      </c>
      <c r="B32" s="12" t="s">
        <v>12</v>
      </c>
    </row>
    <row r="33" spans="1:8" x14ac:dyDescent="0.25">
      <c r="A33" s="12" t="s">
        <v>47</v>
      </c>
      <c r="B33" s="12" t="s">
        <v>48</v>
      </c>
      <c r="H33" s="7">
        <f>H243</f>
        <v>0</v>
      </c>
    </row>
    <row r="34" spans="1:8" x14ac:dyDescent="0.25">
      <c r="A34" s="12" t="s">
        <v>12</v>
      </c>
      <c r="B34" s="12" t="s">
        <v>12</v>
      </c>
    </row>
    <row r="35" spans="1:8" ht="15.75" thickBot="1" x14ac:dyDescent="0.3">
      <c r="A35" s="14" t="s">
        <v>12</v>
      </c>
      <c r="B35" s="14" t="s">
        <v>49</v>
      </c>
      <c r="C35" s="77">
        <v>10787119.16</v>
      </c>
      <c r="D35" s="77"/>
      <c r="E35" s="77"/>
      <c r="F35" s="77"/>
      <c r="G35" s="77">
        <v>-10787119.16</v>
      </c>
      <c r="H35" s="9">
        <f>H31+H33</f>
        <v>4714132.370000001</v>
      </c>
    </row>
    <row r="36" spans="1:8" ht="15.75" thickTop="1" x14ac:dyDescent="0.25">
      <c r="A36" s="12" t="s">
        <v>12</v>
      </c>
      <c r="B36" s="12" t="s">
        <v>12</v>
      </c>
    </row>
    <row r="37" spans="1:8" x14ac:dyDescent="0.25">
      <c r="A37" s="13" t="s">
        <v>12</v>
      </c>
      <c r="B37" s="13" t="s">
        <v>50</v>
      </c>
      <c r="C37" s="76"/>
      <c r="D37" s="76"/>
      <c r="E37" s="76"/>
      <c r="F37" s="76"/>
      <c r="G37" s="76"/>
      <c r="H37" s="8"/>
    </row>
    <row r="38" spans="1:8" x14ac:dyDescent="0.25">
      <c r="A38" s="12" t="s">
        <v>12</v>
      </c>
      <c r="B38" s="12" t="s">
        <v>12</v>
      </c>
    </row>
    <row r="39" spans="1:8" x14ac:dyDescent="0.25">
      <c r="A39" s="13" t="s">
        <v>51</v>
      </c>
      <c r="B39" s="13" t="s">
        <v>52</v>
      </c>
      <c r="C39" s="76"/>
      <c r="D39" s="76"/>
      <c r="E39" s="76"/>
      <c r="F39" s="76"/>
      <c r="G39" s="76"/>
      <c r="H39" s="8"/>
    </row>
    <row r="40" spans="1:8" x14ac:dyDescent="0.25">
      <c r="A40" s="12" t="s">
        <v>53</v>
      </c>
      <c r="B40" s="12" t="s">
        <v>54</v>
      </c>
    </row>
    <row r="41" spans="1:8" x14ac:dyDescent="0.25">
      <c r="A41" s="12" t="s">
        <v>55</v>
      </c>
      <c r="B41" s="12" t="s">
        <v>56</v>
      </c>
    </row>
    <row r="42" spans="1:8" x14ac:dyDescent="0.25">
      <c r="A42" s="12" t="s">
        <v>57</v>
      </c>
      <c r="B42" s="12" t="s">
        <v>58</v>
      </c>
    </row>
    <row r="43" spans="1:8" x14ac:dyDescent="0.25">
      <c r="A43" s="12" t="s">
        <v>59</v>
      </c>
      <c r="B43" s="12" t="s">
        <v>60</v>
      </c>
    </row>
    <row r="44" spans="1:8" x14ac:dyDescent="0.25">
      <c r="A44" s="12" t="s">
        <v>61</v>
      </c>
      <c r="B44" s="12" t="s">
        <v>62</v>
      </c>
    </row>
    <row r="45" spans="1:8" x14ac:dyDescent="0.25">
      <c r="A45" s="12" t="s">
        <v>63</v>
      </c>
      <c r="B45" s="12" t="s">
        <v>64</v>
      </c>
      <c r="C45" s="75">
        <v>10787119.16</v>
      </c>
      <c r="G45" s="75">
        <v>-10787119.16</v>
      </c>
      <c r="H45" s="7">
        <f>'Øvrige tilskud'!F8*-1</f>
        <v>10084132.370000001</v>
      </c>
    </row>
    <row r="46" spans="1:8" x14ac:dyDescent="0.25">
      <c r="A46" s="13" t="s">
        <v>65</v>
      </c>
      <c r="B46" s="13" t="s">
        <v>66</v>
      </c>
      <c r="C46" s="76">
        <v>10787119.16</v>
      </c>
      <c r="D46" s="76"/>
      <c r="E46" s="76"/>
      <c r="F46" s="76"/>
      <c r="G46" s="76">
        <v>-10787119.16</v>
      </c>
      <c r="H46" s="8">
        <f>SUM(H40:H45)</f>
        <v>10084132.370000001</v>
      </c>
    </row>
    <row r="47" spans="1:8" x14ac:dyDescent="0.25">
      <c r="A47" s="12" t="s">
        <v>12</v>
      </c>
      <c r="B47" s="12" t="s">
        <v>12</v>
      </c>
    </row>
    <row r="48" spans="1:8" x14ac:dyDescent="0.25">
      <c r="A48" s="13" t="s">
        <v>67</v>
      </c>
      <c r="B48" s="13" t="s">
        <v>68</v>
      </c>
      <c r="C48" s="76"/>
      <c r="D48" s="76"/>
      <c r="E48" s="76"/>
      <c r="F48" s="76"/>
      <c r="G48" s="76"/>
      <c r="H48" s="8"/>
    </row>
    <row r="49" spans="1:8" x14ac:dyDescent="0.25">
      <c r="A49" s="12" t="s">
        <v>69</v>
      </c>
      <c r="B49" s="12" t="s">
        <v>70</v>
      </c>
    </row>
    <row r="50" spans="1:8" x14ac:dyDescent="0.25">
      <c r="A50" s="12" t="s">
        <v>71</v>
      </c>
      <c r="B50" s="12" t="s">
        <v>72</v>
      </c>
    </row>
    <row r="51" spans="1:8" x14ac:dyDescent="0.25">
      <c r="A51" s="12" t="s">
        <v>73</v>
      </c>
      <c r="B51" s="12" t="s">
        <v>74</v>
      </c>
    </row>
    <row r="52" spans="1:8" x14ac:dyDescent="0.25">
      <c r="A52" s="12" t="s">
        <v>75</v>
      </c>
      <c r="B52" s="12" t="s">
        <v>76</v>
      </c>
    </row>
    <row r="53" spans="1:8" x14ac:dyDescent="0.25">
      <c r="A53" s="12" t="s">
        <v>77</v>
      </c>
      <c r="B53" s="12" t="s">
        <v>78</v>
      </c>
    </row>
    <row r="54" spans="1:8" x14ac:dyDescent="0.25">
      <c r="A54" s="12" t="s">
        <v>79</v>
      </c>
      <c r="B54" s="12" t="s">
        <v>80</v>
      </c>
    </row>
    <row r="55" spans="1:8" x14ac:dyDescent="0.25">
      <c r="A55" s="12" t="s">
        <v>81</v>
      </c>
      <c r="B55" s="12" t="s">
        <v>82</v>
      </c>
    </row>
    <row r="56" spans="1:8" x14ac:dyDescent="0.25">
      <c r="A56" s="12" t="s">
        <v>83</v>
      </c>
      <c r="B56" s="12" t="s">
        <v>84</v>
      </c>
    </row>
    <row r="57" spans="1:8" x14ac:dyDescent="0.25">
      <c r="A57" s="12" t="s">
        <v>85</v>
      </c>
      <c r="B57" s="12" t="s">
        <v>86</v>
      </c>
    </row>
    <row r="58" spans="1:8" x14ac:dyDescent="0.25">
      <c r="A58" s="12" t="s">
        <v>87</v>
      </c>
      <c r="B58" s="12" t="s">
        <v>88</v>
      </c>
    </row>
    <row r="59" spans="1:8" x14ac:dyDescent="0.25">
      <c r="A59" s="13" t="s">
        <v>89</v>
      </c>
      <c r="B59" s="13" t="s">
        <v>17</v>
      </c>
      <c r="C59" s="76"/>
      <c r="D59" s="76"/>
      <c r="E59" s="76"/>
      <c r="F59" s="76"/>
      <c r="G59" s="76"/>
      <c r="H59" s="8">
        <f>SUM(H49:H58)</f>
        <v>0</v>
      </c>
    </row>
    <row r="60" spans="1:8" x14ac:dyDescent="0.25">
      <c r="A60" s="12" t="s">
        <v>12</v>
      </c>
      <c r="B60" s="12" t="s">
        <v>12</v>
      </c>
    </row>
    <row r="61" spans="1:8" x14ac:dyDescent="0.25">
      <c r="A61" s="13" t="s">
        <v>90</v>
      </c>
      <c r="B61" s="13" t="s">
        <v>91</v>
      </c>
      <c r="C61" s="76"/>
      <c r="D61" s="76"/>
      <c r="E61" s="76"/>
      <c r="F61" s="76"/>
      <c r="G61" s="76"/>
      <c r="H61" s="8"/>
    </row>
    <row r="62" spans="1:8" x14ac:dyDescent="0.25">
      <c r="A62" s="12" t="s">
        <v>92</v>
      </c>
      <c r="B62" s="12" t="s">
        <v>93</v>
      </c>
    </row>
    <row r="63" spans="1:8" x14ac:dyDescent="0.25">
      <c r="A63" s="13" t="s">
        <v>94</v>
      </c>
      <c r="B63" s="13" t="s">
        <v>95</v>
      </c>
      <c r="C63" s="76"/>
      <c r="D63" s="76"/>
      <c r="E63" s="76"/>
      <c r="F63" s="76"/>
      <c r="G63" s="76"/>
      <c r="H63" s="8">
        <f>H62</f>
        <v>0</v>
      </c>
    </row>
    <row r="64" spans="1:8" x14ac:dyDescent="0.25">
      <c r="A64" s="12" t="s">
        <v>12</v>
      </c>
      <c r="B64" s="12" t="s">
        <v>12</v>
      </c>
    </row>
    <row r="65" spans="1:8" x14ac:dyDescent="0.25">
      <c r="A65" s="13" t="s">
        <v>96</v>
      </c>
      <c r="B65" s="13" t="s">
        <v>97</v>
      </c>
      <c r="C65" s="76">
        <v>10787119.16</v>
      </c>
      <c r="D65" s="76"/>
      <c r="E65" s="76"/>
      <c r="F65" s="76"/>
      <c r="G65" s="76">
        <v>-10787119.16</v>
      </c>
      <c r="H65" s="8">
        <f>H63+H59+H46</f>
        <v>10084132.370000001</v>
      </c>
    </row>
    <row r="66" spans="1:8" x14ac:dyDescent="0.25">
      <c r="A66" s="12" t="s">
        <v>12</v>
      </c>
      <c r="B66" s="12" t="s">
        <v>12</v>
      </c>
    </row>
    <row r="67" spans="1:8" x14ac:dyDescent="0.25">
      <c r="A67" s="13" t="s">
        <v>98</v>
      </c>
      <c r="B67" s="13" t="s">
        <v>99</v>
      </c>
      <c r="C67" s="76"/>
      <c r="D67" s="76"/>
      <c r="E67" s="76"/>
      <c r="F67" s="76"/>
      <c r="G67" s="76"/>
      <c r="H67" s="8"/>
    </row>
    <row r="68" spans="1:8" x14ac:dyDescent="0.25">
      <c r="A68" s="12" t="s">
        <v>100</v>
      </c>
      <c r="B68" s="12" t="s">
        <v>101</v>
      </c>
    </row>
    <row r="69" spans="1:8" x14ac:dyDescent="0.25">
      <c r="A69" s="12" t="s">
        <v>102</v>
      </c>
      <c r="B69" s="12" t="s">
        <v>103</v>
      </c>
    </row>
    <row r="70" spans="1:8" x14ac:dyDescent="0.25">
      <c r="A70" s="13" t="s">
        <v>104</v>
      </c>
      <c r="B70" s="13" t="s">
        <v>105</v>
      </c>
      <c r="C70" s="76"/>
      <c r="D70" s="76"/>
      <c r="E70" s="76"/>
      <c r="F70" s="76"/>
      <c r="G70" s="76"/>
      <c r="H70" s="8"/>
    </row>
    <row r="71" spans="1:8" x14ac:dyDescent="0.25">
      <c r="A71" s="12" t="s">
        <v>12</v>
      </c>
      <c r="B71" s="12" t="s">
        <v>12</v>
      </c>
    </row>
    <row r="72" spans="1:8" x14ac:dyDescent="0.25">
      <c r="A72" s="13" t="s">
        <v>106</v>
      </c>
      <c r="B72" s="13" t="s">
        <v>107</v>
      </c>
      <c r="C72" s="76"/>
      <c r="D72" s="76"/>
      <c r="E72" s="76"/>
      <c r="F72" s="76"/>
      <c r="G72" s="76"/>
      <c r="H72" s="8"/>
    </row>
    <row r="73" spans="1:8" x14ac:dyDescent="0.25">
      <c r="A73" s="12" t="s">
        <v>108</v>
      </c>
      <c r="B73" s="12" t="s">
        <v>109</v>
      </c>
    </row>
    <row r="74" spans="1:8" x14ac:dyDescent="0.25">
      <c r="A74" s="12" t="s">
        <v>110</v>
      </c>
      <c r="B74" s="12" t="s">
        <v>111</v>
      </c>
    </row>
    <row r="75" spans="1:8" x14ac:dyDescent="0.25">
      <c r="A75" s="12" t="s">
        <v>112</v>
      </c>
      <c r="B75" s="12" t="s">
        <v>113</v>
      </c>
    </row>
    <row r="76" spans="1:8" x14ac:dyDescent="0.25">
      <c r="A76" s="12" t="s">
        <v>114</v>
      </c>
      <c r="B76" s="12" t="s">
        <v>115</v>
      </c>
    </row>
    <row r="77" spans="1:8" x14ac:dyDescent="0.25">
      <c r="A77" s="13" t="s">
        <v>116</v>
      </c>
      <c r="B77" s="13" t="s">
        <v>117</v>
      </c>
      <c r="C77" s="76"/>
      <c r="D77" s="76"/>
      <c r="E77" s="76"/>
      <c r="F77" s="76"/>
      <c r="G77" s="76"/>
      <c r="H77" s="8">
        <f>SUM(H73:H76)</f>
        <v>0</v>
      </c>
    </row>
    <row r="78" spans="1:8" x14ac:dyDescent="0.25">
      <c r="A78" s="12" t="s">
        <v>12</v>
      </c>
      <c r="B78" s="12" t="s">
        <v>12</v>
      </c>
    </row>
    <row r="79" spans="1:8" x14ac:dyDescent="0.25">
      <c r="A79" s="13" t="s">
        <v>118</v>
      </c>
      <c r="B79" s="13" t="s">
        <v>119</v>
      </c>
      <c r="C79" s="76"/>
      <c r="D79" s="76"/>
      <c r="E79" s="76"/>
      <c r="F79" s="76"/>
      <c r="G79" s="76"/>
      <c r="H79" s="8"/>
    </row>
    <row r="80" spans="1:8" x14ac:dyDescent="0.25">
      <c r="A80" s="12" t="s">
        <v>120</v>
      </c>
      <c r="B80" s="12" t="s">
        <v>121</v>
      </c>
    </row>
    <row r="81" spans="1:8" x14ac:dyDescent="0.25">
      <c r="A81" s="12" t="s">
        <v>122</v>
      </c>
      <c r="B81" s="12" t="s">
        <v>123</v>
      </c>
    </row>
    <row r="82" spans="1:8" x14ac:dyDescent="0.25">
      <c r="A82" s="13" t="s">
        <v>124</v>
      </c>
      <c r="B82" s="13" t="s">
        <v>125</v>
      </c>
      <c r="C82" s="76"/>
      <c r="D82" s="76"/>
      <c r="E82" s="76"/>
      <c r="F82" s="76"/>
      <c r="G82" s="76"/>
      <c r="H82" s="8">
        <f>H80+H81</f>
        <v>0</v>
      </c>
    </row>
    <row r="83" spans="1:8" x14ac:dyDescent="0.25">
      <c r="A83" s="12" t="s">
        <v>12</v>
      </c>
      <c r="B83" s="12" t="s">
        <v>12</v>
      </c>
    </row>
    <row r="84" spans="1:8" x14ac:dyDescent="0.25">
      <c r="A84" s="13" t="s">
        <v>126</v>
      </c>
      <c r="B84" s="13" t="s">
        <v>30</v>
      </c>
      <c r="C84" s="76"/>
      <c r="D84" s="76"/>
      <c r="E84" s="76"/>
      <c r="F84" s="76"/>
      <c r="G84" s="76"/>
      <c r="H84" s="8"/>
    </row>
    <row r="85" spans="1:8" x14ac:dyDescent="0.25">
      <c r="A85" s="12" t="s">
        <v>127</v>
      </c>
      <c r="B85" s="12" t="s">
        <v>128</v>
      </c>
    </row>
    <row r="86" spans="1:8" x14ac:dyDescent="0.25">
      <c r="A86" s="12" t="s">
        <v>129</v>
      </c>
      <c r="B86" s="12" t="s">
        <v>130</v>
      </c>
      <c r="H86" s="7">
        <v>0</v>
      </c>
    </row>
    <row r="87" spans="1:8" x14ac:dyDescent="0.25">
      <c r="A87" s="12" t="s">
        <v>131</v>
      </c>
      <c r="B87" s="12" t="s">
        <v>132</v>
      </c>
    </row>
    <row r="88" spans="1:8" x14ac:dyDescent="0.25">
      <c r="A88" s="12" t="s">
        <v>133</v>
      </c>
      <c r="B88" s="12" t="s">
        <v>134</v>
      </c>
    </row>
    <row r="89" spans="1:8" x14ac:dyDescent="0.25">
      <c r="A89" s="12" t="s">
        <v>135</v>
      </c>
      <c r="B89" s="12" t="s">
        <v>136</v>
      </c>
    </row>
    <row r="90" spans="1:8" x14ac:dyDescent="0.25">
      <c r="A90" s="12" t="s">
        <v>137</v>
      </c>
      <c r="B90" s="12" t="s">
        <v>138</v>
      </c>
    </row>
    <row r="91" spans="1:8" x14ac:dyDescent="0.25">
      <c r="A91" s="12" t="s">
        <v>139</v>
      </c>
      <c r="B91" s="12" t="s">
        <v>140</v>
      </c>
    </row>
    <row r="92" spans="1:8" x14ac:dyDescent="0.25">
      <c r="A92" s="12" t="s">
        <v>141</v>
      </c>
      <c r="B92" s="12" t="s">
        <v>142</v>
      </c>
    </row>
    <row r="93" spans="1:8" x14ac:dyDescent="0.25">
      <c r="A93" s="12" t="s">
        <v>143</v>
      </c>
      <c r="B93" s="12" t="s">
        <v>144</v>
      </c>
    </row>
    <row r="94" spans="1:8" x14ac:dyDescent="0.25">
      <c r="A94" s="12" t="s">
        <v>145</v>
      </c>
      <c r="B94" s="12" t="s">
        <v>146</v>
      </c>
    </row>
    <row r="95" spans="1:8" x14ac:dyDescent="0.25">
      <c r="A95" s="12" t="s">
        <v>147</v>
      </c>
      <c r="B95" s="12" t="s">
        <v>148</v>
      </c>
    </row>
    <row r="96" spans="1:8" x14ac:dyDescent="0.25">
      <c r="A96" s="12" t="s">
        <v>149</v>
      </c>
      <c r="B96" s="12" t="s">
        <v>150</v>
      </c>
    </row>
    <row r="97" spans="1:8" x14ac:dyDescent="0.25">
      <c r="A97" s="12" t="s">
        <v>151</v>
      </c>
      <c r="B97" s="12" t="s">
        <v>152</v>
      </c>
    </row>
    <row r="98" spans="1:8" x14ac:dyDescent="0.25">
      <c r="A98" s="12" t="s">
        <v>153</v>
      </c>
      <c r="B98" s="12" t="s">
        <v>154</v>
      </c>
    </row>
    <row r="99" spans="1:8" x14ac:dyDescent="0.25">
      <c r="A99" s="12" t="s">
        <v>155</v>
      </c>
      <c r="B99" s="12" t="s">
        <v>156</v>
      </c>
    </row>
    <row r="100" spans="1:8" x14ac:dyDescent="0.25">
      <c r="A100" s="12" t="s">
        <v>157</v>
      </c>
      <c r="B100" s="12" t="s">
        <v>158</v>
      </c>
    </row>
    <row r="101" spans="1:8" x14ac:dyDescent="0.25">
      <c r="A101" s="12" t="s">
        <v>159</v>
      </c>
      <c r="B101" s="12" t="s">
        <v>160</v>
      </c>
    </row>
    <row r="102" spans="1:8" x14ac:dyDescent="0.25">
      <c r="A102" s="12" t="s">
        <v>161</v>
      </c>
      <c r="B102" s="12" t="s">
        <v>162</v>
      </c>
    </row>
    <row r="103" spans="1:8" x14ac:dyDescent="0.25">
      <c r="A103" s="12" t="s">
        <v>163</v>
      </c>
      <c r="B103" s="12" t="s">
        <v>164</v>
      </c>
    </row>
    <row r="104" spans="1:8" x14ac:dyDescent="0.25">
      <c r="A104" s="12" t="s">
        <v>165</v>
      </c>
      <c r="B104" s="12" t="s">
        <v>166</v>
      </c>
    </row>
    <row r="105" spans="1:8" x14ac:dyDescent="0.25">
      <c r="A105" s="12" t="s">
        <v>167</v>
      </c>
      <c r="B105" s="12" t="s">
        <v>168</v>
      </c>
    </row>
    <row r="106" spans="1:8" x14ac:dyDescent="0.25">
      <c r="A106" s="12" t="s">
        <v>169</v>
      </c>
      <c r="B106" s="12" t="s">
        <v>170</v>
      </c>
    </row>
    <row r="107" spans="1:8" x14ac:dyDescent="0.25">
      <c r="A107" s="13" t="s">
        <v>171</v>
      </c>
      <c r="B107" s="13" t="s">
        <v>172</v>
      </c>
      <c r="C107" s="76"/>
      <c r="D107" s="76"/>
      <c r="E107" s="76"/>
      <c r="F107" s="76"/>
      <c r="G107" s="76"/>
      <c r="H107" s="8">
        <f>SUM(H85:H106)</f>
        <v>0</v>
      </c>
    </row>
    <row r="108" spans="1:8" x14ac:dyDescent="0.25">
      <c r="A108" s="12" t="s">
        <v>12</v>
      </c>
      <c r="B108" s="12" t="s">
        <v>12</v>
      </c>
    </row>
    <row r="109" spans="1:8" x14ac:dyDescent="0.25">
      <c r="A109" s="13" t="s">
        <v>173</v>
      </c>
      <c r="B109" s="13" t="s">
        <v>174</v>
      </c>
      <c r="C109" s="76"/>
      <c r="D109" s="76"/>
      <c r="E109" s="76"/>
      <c r="F109" s="76"/>
      <c r="G109" s="76"/>
      <c r="H109" s="8"/>
    </row>
    <row r="110" spans="1:8" x14ac:dyDescent="0.25">
      <c r="A110" s="12" t="s">
        <v>175</v>
      </c>
      <c r="B110" s="12" t="s">
        <v>174</v>
      </c>
    </row>
    <row r="111" spans="1:8" x14ac:dyDescent="0.25">
      <c r="A111" s="12" t="s">
        <v>176</v>
      </c>
      <c r="B111" s="12" t="s">
        <v>177</v>
      </c>
    </row>
    <row r="112" spans="1:8" x14ac:dyDescent="0.25">
      <c r="A112" s="13" t="s">
        <v>178</v>
      </c>
      <c r="B112" s="13" t="s">
        <v>179</v>
      </c>
      <c r="C112" s="76"/>
      <c r="D112" s="76"/>
      <c r="E112" s="76"/>
      <c r="F112" s="76"/>
      <c r="G112" s="76"/>
      <c r="H112" s="8">
        <f>H110+H111</f>
        <v>0</v>
      </c>
    </row>
    <row r="113" spans="1:8" x14ac:dyDescent="0.25">
      <c r="A113" s="12" t="s">
        <v>12</v>
      </c>
      <c r="B113" s="12" t="s">
        <v>12</v>
      </c>
    </row>
    <row r="114" spans="1:8" x14ac:dyDescent="0.25">
      <c r="A114" s="13" t="s">
        <v>180</v>
      </c>
      <c r="B114" s="13" t="s">
        <v>181</v>
      </c>
      <c r="C114" s="76"/>
      <c r="D114" s="76"/>
      <c r="E114" s="76"/>
      <c r="F114" s="76"/>
      <c r="G114" s="76"/>
      <c r="H114" s="8"/>
    </row>
    <row r="115" spans="1:8" x14ac:dyDescent="0.25">
      <c r="A115" s="12" t="s">
        <v>182</v>
      </c>
      <c r="B115" s="12" t="s">
        <v>183</v>
      </c>
      <c r="H115" s="7">
        <f>C115*4</f>
        <v>0</v>
      </c>
    </row>
    <row r="116" spans="1:8" x14ac:dyDescent="0.25">
      <c r="A116" s="12" t="s">
        <v>184</v>
      </c>
      <c r="B116" s="12" t="s">
        <v>185</v>
      </c>
      <c r="H116" s="7">
        <f>C116*4</f>
        <v>0</v>
      </c>
    </row>
    <row r="117" spans="1:8" x14ac:dyDescent="0.25">
      <c r="A117" s="12" t="s">
        <v>186</v>
      </c>
      <c r="B117" s="12" t="s">
        <v>187</v>
      </c>
    </row>
    <row r="118" spans="1:8" x14ac:dyDescent="0.25">
      <c r="A118" s="12" t="s">
        <v>188</v>
      </c>
      <c r="B118" s="12" t="s">
        <v>189</v>
      </c>
    </row>
    <row r="119" spans="1:8" x14ac:dyDescent="0.25">
      <c r="A119" s="12" t="s">
        <v>190</v>
      </c>
      <c r="B119" s="12" t="s">
        <v>191</v>
      </c>
    </row>
    <row r="120" spans="1:8" x14ac:dyDescent="0.25">
      <c r="A120" s="12" t="s">
        <v>192</v>
      </c>
      <c r="B120" s="12" t="s">
        <v>193</v>
      </c>
    </row>
    <row r="121" spans="1:8" x14ac:dyDescent="0.25">
      <c r="A121" s="12" t="s">
        <v>194</v>
      </c>
      <c r="B121" s="12" t="s">
        <v>195</v>
      </c>
    </row>
    <row r="122" spans="1:8" x14ac:dyDescent="0.25">
      <c r="A122" s="13" t="s">
        <v>196</v>
      </c>
      <c r="B122" s="13" t="s">
        <v>197</v>
      </c>
      <c r="C122" s="76"/>
      <c r="D122" s="76"/>
      <c r="E122" s="76"/>
      <c r="F122" s="76"/>
      <c r="G122" s="76"/>
      <c r="H122" s="8">
        <f>SUM(H115:H121)</f>
        <v>0</v>
      </c>
    </row>
    <row r="123" spans="1:8" x14ac:dyDescent="0.25">
      <c r="A123" s="13" t="s">
        <v>198</v>
      </c>
      <c r="B123" s="13" t="s">
        <v>199</v>
      </c>
      <c r="C123" s="76"/>
      <c r="D123" s="76"/>
      <c r="E123" s="76"/>
      <c r="F123" s="76"/>
      <c r="G123" s="76"/>
      <c r="H123" s="8">
        <f>H122+H112+H107</f>
        <v>0</v>
      </c>
    </row>
    <row r="124" spans="1:8" x14ac:dyDescent="0.25">
      <c r="A124" s="12" t="s">
        <v>12</v>
      </c>
      <c r="B124" s="12" t="s">
        <v>12</v>
      </c>
    </row>
    <row r="125" spans="1:8" x14ac:dyDescent="0.25">
      <c r="A125" s="13" t="s">
        <v>200</v>
      </c>
      <c r="B125" s="13" t="s">
        <v>201</v>
      </c>
      <c r="C125" s="76"/>
      <c r="D125" s="76"/>
      <c r="E125" s="76"/>
      <c r="F125" s="76"/>
      <c r="G125" s="76"/>
      <c r="H125" s="8">
        <f>H123+H82+H77</f>
        <v>0</v>
      </c>
    </row>
    <row r="126" spans="1:8" x14ac:dyDescent="0.25">
      <c r="A126" s="12" t="s">
        <v>12</v>
      </c>
      <c r="B126" s="12" t="s">
        <v>12</v>
      </c>
    </row>
    <row r="127" spans="1:8" x14ac:dyDescent="0.25">
      <c r="A127" s="13" t="s">
        <v>202</v>
      </c>
      <c r="B127" s="13" t="s">
        <v>203</v>
      </c>
      <c r="C127" s="76">
        <v>10787119.16</v>
      </c>
      <c r="D127" s="76"/>
      <c r="E127" s="76"/>
      <c r="F127" s="76"/>
      <c r="G127" s="76">
        <v>-10787119.16</v>
      </c>
      <c r="H127" s="8">
        <f>H125+H65</f>
        <v>10084132.370000001</v>
      </c>
    </row>
    <row r="128" spans="1:8" x14ac:dyDescent="0.25">
      <c r="A128" s="12" t="s">
        <v>12</v>
      </c>
      <c r="B128" s="12" t="s">
        <v>12</v>
      </c>
    </row>
    <row r="129" spans="1:8" x14ac:dyDescent="0.25">
      <c r="A129" s="13" t="s">
        <v>204</v>
      </c>
      <c r="B129" s="13" t="s">
        <v>205</v>
      </c>
      <c r="C129" s="76"/>
      <c r="D129" s="76"/>
      <c r="E129" s="76"/>
      <c r="F129" s="76"/>
      <c r="G129" s="76"/>
      <c r="H129" s="8"/>
    </row>
    <row r="130" spans="1:8" x14ac:dyDescent="0.25">
      <c r="A130" s="12" t="s">
        <v>206</v>
      </c>
      <c r="B130" s="12" t="s">
        <v>207</v>
      </c>
    </row>
    <row r="131" spans="1:8" x14ac:dyDescent="0.25">
      <c r="A131" s="12" t="s">
        <v>208</v>
      </c>
      <c r="B131" s="12" t="s">
        <v>209</v>
      </c>
    </row>
    <row r="132" spans="1:8" x14ac:dyDescent="0.25">
      <c r="A132" s="12" t="s">
        <v>210</v>
      </c>
      <c r="B132" s="12" t="s">
        <v>211</v>
      </c>
    </row>
    <row r="133" spans="1:8" x14ac:dyDescent="0.25">
      <c r="A133" s="12" t="s">
        <v>212</v>
      </c>
      <c r="B133" s="12" t="s">
        <v>213</v>
      </c>
    </row>
    <row r="134" spans="1:8" x14ac:dyDescent="0.25">
      <c r="A134" s="12" t="s">
        <v>214</v>
      </c>
      <c r="B134" s="12" t="s">
        <v>215</v>
      </c>
    </row>
    <row r="135" spans="1:8" x14ac:dyDescent="0.25">
      <c r="A135" s="12" t="s">
        <v>216</v>
      </c>
      <c r="B135" s="12" t="s">
        <v>217</v>
      </c>
    </row>
    <row r="136" spans="1:8" x14ac:dyDescent="0.25">
      <c r="A136" s="13" t="s">
        <v>218</v>
      </c>
      <c r="B136" s="13" t="s">
        <v>219</v>
      </c>
      <c r="C136" s="76"/>
      <c r="D136" s="76"/>
      <c r="E136" s="76"/>
      <c r="F136" s="76"/>
      <c r="G136" s="76"/>
      <c r="H136" s="8">
        <f>SUM(H130:H135)</f>
        <v>0</v>
      </c>
    </row>
    <row r="137" spans="1:8" x14ac:dyDescent="0.25">
      <c r="A137" s="12" t="s">
        <v>12</v>
      </c>
      <c r="B137" s="12" t="s">
        <v>12</v>
      </c>
    </row>
    <row r="138" spans="1:8" x14ac:dyDescent="0.25">
      <c r="A138" s="13" t="s">
        <v>220</v>
      </c>
      <c r="B138" s="13" t="s">
        <v>221</v>
      </c>
      <c r="C138" s="76"/>
      <c r="D138" s="76"/>
      <c r="E138" s="76"/>
      <c r="F138" s="76"/>
      <c r="G138" s="76"/>
      <c r="H138" s="8"/>
    </row>
    <row r="139" spans="1:8" x14ac:dyDescent="0.25">
      <c r="A139" s="12" t="s">
        <v>222</v>
      </c>
      <c r="B139" s="12" t="s">
        <v>223</v>
      </c>
      <c r="H139" s="7">
        <v>-2000000</v>
      </c>
    </row>
    <row r="140" spans="1:8" x14ac:dyDescent="0.25">
      <c r="A140" s="12" t="s">
        <v>224</v>
      </c>
      <c r="B140" s="12" t="s">
        <v>225</v>
      </c>
    </row>
    <row r="141" spans="1:8" x14ac:dyDescent="0.25">
      <c r="A141" s="12" t="s">
        <v>226</v>
      </c>
      <c r="B141" s="12" t="s">
        <v>227</v>
      </c>
    </row>
    <row r="142" spans="1:8" x14ac:dyDescent="0.25">
      <c r="A142" s="12" t="s">
        <v>228</v>
      </c>
      <c r="B142" s="12" t="s">
        <v>229</v>
      </c>
    </row>
    <row r="143" spans="1:8" x14ac:dyDescent="0.25">
      <c r="A143" s="12" t="s">
        <v>230</v>
      </c>
      <c r="B143" s="12" t="s">
        <v>231</v>
      </c>
    </row>
    <row r="144" spans="1:8" x14ac:dyDescent="0.25">
      <c r="A144" s="12" t="s">
        <v>232</v>
      </c>
      <c r="B144" s="12" t="s">
        <v>233</v>
      </c>
    </row>
    <row r="145" spans="1:8" x14ac:dyDescent="0.25">
      <c r="A145" s="12" t="s">
        <v>234</v>
      </c>
      <c r="B145" s="12" t="s">
        <v>235</v>
      </c>
    </row>
    <row r="146" spans="1:8" x14ac:dyDescent="0.25">
      <c r="A146" s="12" t="s">
        <v>236</v>
      </c>
      <c r="B146" s="12" t="s">
        <v>237</v>
      </c>
    </row>
    <row r="147" spans="1:8" x14ac:dyDescent="0.25">
      <c r="A147" s="12" t="s">
        <v>238</v>
      </c>
      <c r="B147" s="12" t="s">
        <v>239</v>
      </c>
    </row>
    <row r="148" spans="1:8" x14ac:dyDescent="0.25">
      <c r="A148" s="12" t="s">
        <v>240</v>
      </c>
      <c r="B148" s="12" t="s">
        <v>241</v>
      </c>
    </row>
    <row r="149" spans="1:8" x14ac:dyDescent="0.25">
      <c r="A149" s="12" t="s">
        <v>242</v>
      </c>
      <c r="B149" s="12" t="s">
        <v>243</v>
      </c>
    </row>
    <row r="150" spans="1:8" x14ac:dyDescent="0.25">
      <c r="A150" s="12" t="s">
        <v>244</v>
      </c>
      <c r="B150" s="12" t="s">
        <v>245</v>
      </c>
    </row>
    <row r="151" spans="1:8" x14ac:dyDescent="0.25">
      <c r="A151" s="12" t="s">
        <v>246</v>
      </c>
      <c r="B151" s="12" t="s">
        <v>247</v>
      </c>
      <c r="H151" s="7">
        <v>-3370000</v>
      </c>
    </row>
    <row r="152" spans="1:8" x14ac:dyDescent="0.25">
      <c r="A152" s="12" t="s">
        <v>248</v>
      </c>
      <c r="B152" s="12" t="s">
        <v>249</v>
      </c>
    </row>
    <row r="153" spans="1:8" x14ac:dyDescent="0.25">
      <c r="A153" s="12" t="s">
        <v>250</v>
      </c>
      <c r="B153" s="12" t="s">
        <v>251</v>
      </c>
    </row>
    <row r="154" spans="1:8" x14ac:dyDescent="0.25">
      <c r="A154" s="12" t="s">
        <v>252</v>
      </c>
      <c r="B154" s="12" t="s">
        <v>253</v>
      </c>
    </row>
    <row r="155" spans="1:8" x14ac:dyDescent="0.25">
      <c r="A155" s="12" t="s">
        <v>254</v>
      </c>
      <c r="B155" s="12" t="s">
        <v>255</v>
      </c>
    </row>
    <row r="156" spans="1:8" x14ac:dyDescent="0.25">
      <c r="A156" s="12" t="s">
        <v>256</v>
      </c>
      <c r="B156" s="12" t="s">
        <v>257</v>
      </c>
    </row>
    <row r="157" spans="1:8" x14ac:dyDescent="0.25">
      <c r="A157" s="12" t="s">
        <v>258</v>
      </c>
      <c r="B157" s="12" t="s">
        <v>259</v>
      </c>
    </row>
    <row r="158" spans="1:8" x14ac:dyDescent="0.25">
      <c r="A158" s="12" t="s">
        <v>260</v>
      </c>
      <c r="B158" s="12" t="s">
        <v>261</v>
      </c>
    </row>
    <row r="159" spans="1:8" x14ac:dyDescent="0.25">
      <c r="A159" s="12" t="s">
        <v>262</v>
      </c>
      <c r="B159" s="12" t="s">
        <v>263</v>
      </c>
    </row>
    <row r="160" spans="1:8" x14ac:dyDescent="0.25">
      <c r="A160" s="12" t="s">
        <v>264</v>
      </c>
      <c r="B160" s="12" t="s">
        <v>265</v>
      </c>
    </row>
    <row r="161" spans="1:2" x14ac:dyDescent="0.25">
      <c r="A161" s="12" t="s">
        <v>266</v>
      </c>
      <c r="B161" s="12" t="s">
        <v>267</v>
      </c>
    </row>
    <row r="162" spans="1:2" x14ac:dyDescent="0.25">
      <c r="A162" s="12" t="s">
        <v>268</v>
      </c>
      <c r="B162" s="12" t="s">
        <v>269</v>
      </c>
    </row>
    <row r="163" spans="1:2" x14ac:dyDescent="0.25">
      <c r="A163" s="12" t="s">
        <v>270</v>
      </c>
      <c r="B163" s="12" t="s">
        <v>271</v>
      </c>
    </row>
    <row r="164" spans="1:2" x14ac:dyDescent="0.25">
      <c r="A164" s="12" t="s">
        <v>272</v>
      </c>
      <c r="B164" s="12" t="s">
        <v>273</v>
      </c>
    </row>
    <row r="165" spans="1:2" x14ac:dyDescent="0.25">
      <c r="A165" s="12" t="s">
        <v>274</v>
      </c>
      <c r="B165" s="12" t="s">
        <v>275</v>
      </c>
    </row>
    <row r="166" spans="1:2" x14ac:dyDescent="0.25">
      <c r="A166" s="12" t="s">
        <v>276</v>
      </c>
      <c r="B166" s="12" t="s">
        <v>277</v>
      </c>
    </row>
    <row r="167" spans="1:2" x14ac:dyDescent="0.25">
      <c r="A167" s="12" t="s">
        <v>278</v>
      </c>
      <c r="B167" s="12" t="s">
        <v>279</v>
      </c>
    </row>
    <row r="168" spans="1:2" x14ac:dyDescent="0.25">
      <c r="A168" s="12" t="s">
        <v>280</v>
      </c>
      <c r="B168" s="12" t="s">
        <v>281</v>
      </c>
    </row>
    <row r="169" spans="1:2" x14ac:dyDescent="0.25">
      <c r="A169" s="12" t="s">
        <v>282</v>
      </c>
      <c r="B169" s="12" t="s">
        <v>283</v>
      </c>
    </row>
    <row r="170" spans="1:2" x14ac:dyDescent="0.25">
      <c r="A170" s="12" t="s">
        <v>284</v>
      </c>
      <c r="B170" s="12" t="s">
        <v>285</v>
      </c>
    </row>
    <row r="171" spans="1:2" x14ac:dyDescent="0.25">
      <c r="A171" s="12" t="s">
        <v>286</v>
      </c>
      <c r="B171" s="12" t="s">
        <v>287</v>
      </c>
    </row>
    <row r="172" spans="1:2" x14ac:dyDescent="0.25">
      <c r="A172" s="12" t="s">
        <v>288</v>
      </c>
      <c r="B172" s="12" t="s">
        <v>289</v>
      </c>
    </row>
    <row r="173" spans="1:2" x14ac:dyDescent="0.25">
      <c r="A173" s="12" t="s">
        <v>290</v>
      </c>
      <c r="B173" s="12" t="s">
        <v>291</v>
      </c>
    </row>
    <row r="174" spans="1:2" x14ac:dyDescent="0.25">
      <c r="A174" s="12" t="s">
        <v>292</v>
      </c>
      <c r="B174" s="12" t="s">
        <v>293</v>
      </c>
    </row>
    <row r="175" spans="1:2" x14ac:dyDescent="0.25">
      <c r="A175" s="12" t="s">
        <v>294</v>
      </c>
      <c r="B175" s="12" t="s">
        <v>295</v>
      </c>
    </row>
    <row r="176" spans="1:2" x14ac:dyDescent="0.25">
      <c r="A176" s="12" t="s">
        <v>296</v>
      </c>
      <c r="B176" s="12" t="s">
        <v>297</v>
      </c>
    </row>
    <row r="177" spans="1:2" x14ac:dyDescent="0.25">
      <c r="A177" s="12" t="s">
        <v>298</v>
      </c>
      <c r="B177" s="12" t="s">
        <v>299</v>
      </c>
    </row>
    <row r="178" spans="1:2" x14ac:dyDescent="0.25">
      <c r="A178" s="12" t="s">
        <v>300</v>
      </c>
      <c r="B178" s="12" t="s">
        <v>301</v>
      </c>
    </row>
    <row r="179" spans="1:2" x14ac:dyDescent="0.25">
      <c r="A179" s="12" t="s">
        <v>302</v>
      </c>
      <c r="B179" s="12" t="s">
        <v>303</v>
      </c>
    </row>
    <row r="180" spans="1:2" x14ac:dyDescent="0.25">
      <c r="A180" s="12" t="s">
        <v>304</v>
      </c>
      <c r="B180" s="12" t="s">
        <v>305</v>
      </c>
    </row>
    <row r="181" spans="1:2" x14ac:dyDescent="0.25">
      <c r="A181" s="12" t="s">
        <v>306</v>
      </c>
      <c r="B181" s="12" t="s">
        <v>307</v>
      </c>
    </row>
    <row r="182" spans="1:2" x14ac:dyDescent="0.25">
      <c r="A182" s="12" t="s">
        <v>308</v>
      </c>
      <c r="B182" s="12" t="s">
        <v>309</v>
      </c>
    </row>
    <row r="183" spans="1:2" x14ac:dyDescent="0.25">
      <c r="A183" s="12" t="s">
        <v>310</v>
      </c>
      <c r="B183" s="12" t="s">
        <v>311</v>
      </c>
    </row>
    <row r="184" spans="1:2" x14ac:dyDescent="0.25">
      <c r="A184" s="12" t="s">
        <v>312</v>
      </c>
      <c r="B184" s="12" t="s">
        <v>313</v>
      </c>
    </row>
    <row r="185" spans="1:2" x14ac:dyDescent="0.25">
      <c r="A185" s="12" t="s">
        <v>314</v>
      </c>
      <c r="B185" s="12" t="s">
        <v>315</v>
      </c>
    </row>
    <row r="186" spans="1:2" x14ac:dyDescent="0.25">
      <c r="A186" s="12" t="s">
        <v>316</v>
      </c>
      <c r="B186" s="12" t="s">
        <v>317</v>
      </c>
    </row>
    <row r="187" spans="1:2" x14ac:dyDescent="0.25">
      <c r="A187" s="12" t="s">
        <v>318</v>
      </c>
      <c r="B187" s="12" t="s">
        <v>319</v>
      </c>
    </row>
    <row r="188" spans="1:2" x14ac:dyDescent="0.25">
      <c r="A188" s="12" t="s">
        <v>320</v>
      </c>
      <c r="B188" s="12" t="s">
        <v>321</v>
      </c>
    </row>
    <row r="189" spans="1:2" x14ac:dyDescent="0.25">
      <c r="A189" s="12" t="s">
        <v>322</v>
      </c>
      <c r="B189" s="12" t="s">
        <v>323</v>
      </c>
    </row>
    <row r="190" spans="1:2" x14ac:dyDescent="0.25">
      <c r="A190" s="12" t="s">
        <v>324</v>
      </c>
      <c r="B190" s="12" t="s">
        <v>325</v>
      </c>
    </row>
    <row r="191" spans="1:2" x14ac:dyDescent="0.25">
      <c r="A191" s="12" t="s">
        <v>326</v>
      </c>
      <c r="B191" s="12" t="s">
        <v>327</v>
      </c>
    </row>
    <row r="192" spans="1:2" x14ac:dyDescent="0.25">
      <c r="A192" s="12" t="s">
        <v>328</v>
      </c>
      <c r="B192" s="12" t="s">
        <v>329</v>
      </c>
    </row>
    <row r="193" spans="1:8" x14ac:dyDescent="0.25">
      <c r="A193" s="12" t="s">
        <v>330</v>
      </c>
      <c r="B193" s="12" t="s">
        <v>331</v>
      </c>
    </row>
    <row r="194" spans="1:8" x14ac:dyDescent="0.25">
      <c r="A194" s="12" t="s">
        <v>332</v>
      </c>
      <c r="B194" s="12" t="s">
        <v>333</v>
      </c>
    </row>
    <row r="195" spans="1:8" x14ac:dyDescent="0.25">
      <c r="A195" s="12" t="s">
        <v>334</v>
      </c>
      <c r="B195" s="12" t="s">
        <v>335</v>
      </c>
    </row>
    <row r="196" spans="1:8" x14ac:dyDescent="0.25">
      <c r="A196" s="12" t="s">
        <v>336</v>
      </c>
      <c r="B196" s="12" t="s">
        <v>337</v>
      </c>
    </row>
    <row r="197" spans="1:8" x14ac:dyDescent="0.25">
      <c r="A197" s="12" t="s">
        <v>338</v>
      </c>
      <c r="B197" s="12" t="s">
        <v>339</v>
      </c>
    </row>
    <row r="198" spans="1:8" x14ac:dyDescent="0.25">
      <c r="A198" s="13" t="s">
        <v>340</v>
      </c>
      <c r="B198" s="13" t="s">
        <v>341</v>
      </c>
      <c r="C198" s="76"/>
      <c r="D198" s="76"/>
      <c r="E198" s="76"/>
      <c r="F198" s="76"/>
      <c r="G198" s="76"/>
      <c r="H198" s="8">
        <f>SUM(H139:H197)</f>
        <v>-5370000</v>
      </c>
    </row>
    <row r="199" spans="1:8" x14ac:dyDescent="0.25">
      <c r="A199" s="12" t="s">
        <v>12</v>
      </c>
      <c r="B199" s="12" t="s">
        <v>12</v>
      </c>
    </row>
    <row r="200" spans="1:8" x14ac:dyDescent="0.25">
      <c r="A200" s="13" t="s">
        <v>342</v>
      </c>
      <c r="B200" s="13" t="s">
        <v>343</v>
      </c>
      <c r="C200" s="76"/>
      <c r="D200" s="76"/>
      <c r="E200" s="76"/>
      <c r="F200" s="76"/>
      <c r="G200" s="76"/>
      <c r="H200" s="8"/>
    </row>
    <row r="201" spans="1:8" x14ac:dyDescent="0.25">
      <c r="A201" s="12" t="s">
        <v>344</v>
      </c>
      <c r="B201" s="12" t="s">
        <v>345</v>
      </c>
    </row>
    <row r="202" spans="1:8" x14ac:dyDescent="0.25">
      <c r="A202" s="12" t="s">
        <v>346</v>
      </c>
      <c r="B202" s="12" t="s">
        <v>347</v>
      </c>
    </row>
    <row r="203" spans="1:8" x14ac:dyDescent="0.25">
      <c r="A203" s="12" t="s">
        <v>348</v>
      </c>
      <c r="B203" s="12" t="s">
        <v>349</v>
      </c>
    </row>
    <row r="204" spans="1:8" x14ac:dyDescent="0.25">
      <c r="A204" s="12" t="s">
        <v>350</v>
      </c>
      <c r="B204" s="12" t="s">
        <v>351</v>
      </c>
    </row>
    <row r="205" spans="1:8" x14ac:dyDescent="0.25">
      <c r="A205" s="12" t="s">
        <v>352</v>
      </c>
      <c r="B205" s="12" t="s">
        <v>353</v>
      </c>
    </row>
    <row r="206" spans="1:8" x14ac:dyDescent="0.25">
      <c r="A206" s="12" t="s">
        <v>354</v>
      </c>
      <c r="B206" s="12" t="s">
        <v>355</v>
      </c>
    </row>
    <row r="207" spans="1:8" x14ac:dyDescent="0.25">
      <c r="A207" s="12" t="s">
        <v>356</v>
      </c>
      <c r="B207" s="12" t="s">
        <v>357</v>
      </c>
    </row>
    <row r="208" spans="1:8" x14ac:dyDescent="0.25">
      <c r="A208" s="12" t="s">
        <v>358</v>
      </c>
      <c r="B208" s="12" t="s">
        <v>359</v>
      </c>
    </row>
    <row r="209" spans="1:8" x14ac:dyDescent="0.25">
      <c r="A209" s="13" t="s">
        <v>360</v>
      </c>
      <c r="B209" s="13" t="s">
        <v>361</v>
      </c>
      <c r="C209" s="76"/>
      <c r="D209" s="76"/>
      <c r="E209" s="76"/>
      <c r="F209" s="76"/>
      <c r="G209" s="76"/>
      <c r="H209" s="8">
        <f>SUM(H201:H208)</f>
        <v>0</v>
      </c>
    </row>
    <row r="210" spans="1:8" x14ac:dyDescent="0.25">
      <c r="A210" s="12" t="s">
        <v>12</v>
      </c>
      <c r="B210" s="12" t="s">
        <v>12</v>
      </c>
    </row>
    <row r="211" spans="1:8" x14ac:dyDescent="0.25">
      <c r="A211" s="13" t="s">
        <v>362</v>
      </c>
      <c r="B211" s="13" t="s">
        <v>40</v>
      </c>
      <c r="C211" s="76"/>
      <c r="D211" s="76"/>
      <c r="E211" s="76"/>
      <c r="F211" s="76"/>
      <c r="G211" s="76"/>
      <c r="H211" s="8"/>
    </row>
    <row r="212" spans="1:8" x14ac:dyDescent="0.25">
      <c r="A212" s="12" t="s">
        <v>363</v>
      </c>
      <c r="B212" s="12" t="s">
        <v>364</v>
      </c>
    </row>
    <row r="213" spans="1:8" x14ac:dyDescent="0.25">
      <c r="A213" s="12" t="s">
        <v>365</v>
      </c>
      <c r="B213" s="12" t="s">
        <v>366</v>
      </c>
    </row>
    <row r="214" spans="1:8" x14ac:dyDescent="0.25">
      <c r="A214" s="12" t="s">
        <v>367</v>
      </c>
      <c r="B214" s="12" t="s">
        <v>368</v>
      </c>
    </row>
    <row r="215" spans="1:8" x14ac:dyDescent="0.25">
      <c r="A215" s="12" t="s">
        <v>369</v>
      </c>
      <c r="B215" s="12" t="s">
        <v>370</v>
      </c>
    </row>
    <row r="216" spans="1:8" x14ac:dyDescent="0.25">
      <c r="A216" s="12" t="s">
        <v>371</v>
      </c>
      <c r="B216" s="12" t="s">
        <v>372</v>
      </c>
    </row>
    <row r="217" spans="1:8" x14ac:dyDescent="0.25">
      <c r="A217" s="12" t="s">
        <v>373</v>
      </c>
      <c r="B217" s="12" t="s">
        <v>374</v>
      </c>
    </row>
    <row r="218" spans="1:8" x14ac:dyDescent="0.25">
      <c r="A218" s="12" t="s">
        <v>375</v>
      </c>
      <c r="B218" s="12" t="s">
        <v>376</v>
      </c>
    </row>
    <row r="219" spans="1:8" x14ac:dyDescent="0.25">
      <c r="A219" s="13" t="s">
        <v>377</v>
      </c>
      <c r="B219" s="13" t="s">
        <v>378</v>
      </c>
      <c r="C219" s="76"/>
      <c r="D219" s="76"/>
      <c r="E219" s="76"/>
      <c r="F219" s="76"/>
      <c r="G219" s="76"/>
      <c r="H219" s="8">
        <f>SUM(H212:H218)</f>
        <v>0</v>
      </c>
    </row>
    <row r="220" spans="1:8" x14ac:dyDescent="0.25">
      <c r="A220" s="12" t="s">
        <v>12</v>
      </c>
      <c r="B220" s="12" t="s">
        <v>12</v>
      </c>
    </row>
    <row r="221" spans="1:8" x14ac:dyDescent="0.25">
      <c r="A221" s="13" t="s">
        <v>379</v>
      </c>
      <c r="B221" s="13" t="s">
        <v>380</v>
      </c>
      <c r="C221" s="76"/>
      <c r="D221" s="76"/>
      <c r="E221" s="76"/>
      <c r="F221" s="76"/>
      <c r="G221" s="76"/>
      <c r="H221" s="8"/>
    </row>
    <row r="222" spans="1:8" x14ac:dyDescent="0.25">
      <c r="A222" s="12" t="s">
        <v>381</v>
      </c>
      <c r="B222" s="12" t="s">
        <v>380</v>
      </c>
    </row>
    <row r="223" spans="1:8" x14ac:dyDescent="0.25">
      <c r="A223" s="13" t="s">
        <v>382</v>
      </c>
      <c r="B223" s="13" t="s">
        <v>383</v>
      </c>
      <c r="C223" s="76"/>
      <c r="D223" s="76"/>
      <c r="E223" s="76"/>
      <c r="F223" s="76"/>
      <c r="G223" s="76"/>
      <c r="H223" s="8">
        <f>H222</f>
        <v>0</v>
      </c>
    </row>
    <row r="224" spans="1:8" x14ac:dyDescent="0.25">
      <c r="A224" s="12" t="s">
        <v>12</v>
      </c>
      <c r="B224" s="12" t="s">
        <v>12</v>
      </c>
    </row>
    <row r="225" spans="1:8" x14ac:dyDescent="0.25">
      <c r="A225" s="13" t="s">
        <v>384</v>
      </c>
      <c r="B225" s="13" t="s">
        <v>385</v>
      </c>
      <c r="C225" s="76"/>
      <c r="D225" s="76"/>
      <c r="E225" s="76"/>
      <c r="F225" s="76"/>
      <c r="G225" s="76"/>
      <c r="H225" s="8"/>
    </row>
    <row r="226" spans="1:8" x14ac:dyDescent="0.25">
      <c r="A226" s="12" t="s">
        <v>386</v>
      </c>
      <c r="B226" s="12" t="s">
        <v>385</v>
      </c>
    </row>
    <row r="227" spans="1:8" x14ac:dyDescent="0.25">
      <c r="A227" s="13" t="s">
        <v>387</v>
      </c>
      <c r="B227" s="13" t="s">
        <v>388</v>
      </c>
      <c r="C227" s="76"/>
      <c r="D227" s="76"/>
      <c r="E227" s="76"/>
      <c r="F227" s="76"/>
      <c r="G227" s="76"/>
      <c r="H227" s="8">
        <f>H226</f>
        <v>0</v>
      </c>
    </row>
    <row r="228" spans="1:8" x14ac:dyDescent="0.25">
      <c r="A228" s="12" t="s">
        <v>12</v>
      </c>
      <c r="B228" s="12" t="s">
        <v>12</v>
      </c>
    </row>
    <row r="229" spans="1:8" ht="15.75" thickBot="1" x14ac:dyDescent="0.3">
      <c r="A229" s="14" t="s">
        <v>389</v>
      </c>
      <c r="B229" s="14" t="s">
        <v>390</v>
      </c>
      <c r="C229" s="77">
        <v>10787119.16</v>
      </c>
      <c r="D229" s="77"/>
      <c r="E229" s="77"/>
      <c r="F229" s="77"/>
      <c r="G229" s="77">
        <v>-10787119.16</v>
      </c>
      <c r="H229" s="9">
        <f>H219+H209+H223+H227+H198+H136+H127</f>
        <v>4714132.370000001</v>
      </c>
    </row>
    <row r="230" spans="1:8" ht="15.75" thickTop="1" x14ac:dyDescent="0.25">
      <c r="A230" s="12" t="s">
        <v>12</v>
      </c>
      <c r="B230" s="12" t="s">
        <v>12</v>
      </c>
    </row>
    <row r="231" spans="1:8" x14ac:dyDescent="0.25">
      <c r="A231" s="13" t="s">
        <v>391</v>
      </c>
      <c r="B231" s="13" t="s">
        <v>392</v>
      </c>
      <c r="C231" s="76"/>
      <c r="D231" s="76"/>
      <c r="E231" s="76"/>
      <c r="F231" s="76"/>
      <c r="G231" s="76"/>
      <c r="H231" s="8"/>
    </row>
    <row r="232" spans="1:8" x14ac:dyDescent="0.25">
      <c r="A232" s="12" t="s">
        <v>393</v>
      </c>
      <c r="B232" s="12" t="s">
        <v>394</v>
      </c>
    </row>
    <row r="233" spans="1:8" x14ac:dyDescent="0.25">
      <c r="A233" s="12" t="s">
        <v>395</v>
      </c>
      <c r="B233" s="12" t="s">
        <v>396</v>
      </c>
    </row>
    <row r="234" spans="1:8" x14ac:dyDescent="0.25">
      <c r="A234" s="12" t="s">
        <v>397</v>
      </c>
      <c r="B234" s="12" t="s">
        <v>398</v>
      </c>
    </row>
    <row r="235" spans="1:8" x14ac:dyDescent="0.25">
      <c r="A235" s="13" t="s">
        <v>399</v>
      </c>
      <c r="B235" s="13" t="s">
        <v>400</v>
      </c>
      <c r="C235" s="76"/>
      <c r="D235" s="76"/>
      <c r="E235" s="76"/>
      <c r="F235" s="76"/>
      <c r="G235" s="76"/>
      <c r="H235" s="8">
        <f>SUM(H232:H234)</f>
        <v>0</v>
      </c>
    </row>
    <row r="236" spans="1:8" x14ac:dyDescent="0.25">
      <c r="A236" s="12" t="s">
        <v>12</v>
      </c>
      <c r="B236" s="12" t="s">
        <v>12</v>
      </c>
    </row>
    <row r="237" spans="1:8" ht="15.75" thickBot="1" x14ac:dyDescent="0.3">
      <c r="A237" s="14" t="s">
        <v>12</v>
      </c>
      <c r="B237" s="14" t="s">
        <v>46</v>
      </c>
      <c r="C237" s="77">
        <v>10787119.16</v>
      </c>
      <c r="D237" s="77"/>
      <c r="E237" s="77"/>
      <c r="F237" s="77"/>
      <c r="G237" s="77">
        <v>-10787119.16</v>
      </c>
      <c r="H237" s="9">
        <f>H229+H235</f>
        <v>4714132.370000001</v>
      </c>
    </row>
    <row r="238" spans="1:8" ht="15.75" thickTop="1" x14ac:dyDescent="0.25">
      <c r="A238" s="12" t="s">
        <v>12</v>
      </c>
      <c r="B238" s="12" t="s">
        <v>12</v>
      </c>
    </row>
    <row r="239" spans="1:8" x14ac:dyDescent="0.25">
      <c r="A239" s="12" t="s">
        <v>401</v>
      </c>
      <c r="B239" s="12" t="s">
        <v>402</v>
      </c>
    </row>
    <row r="240" spans="1:8" x14ac:dyDescent="0.25">
      <c r="A240" s="12" t="s">
        <v>403</v>
      </c>
      <c r="B240" s="12" t="s">
        <v>404</v>
      </c>
    </row>
    <row r="241" spans="1:8" x14ac:dyDescent="0.25">
      <c r="A241" s="12" t="s">
        <v>405</v>
      </c>
      <c r="B241" s="12" t="s">
        <v>406</v>
      </c>
    </row>
    <row r="242" spans="1:8" x14ac:dyDescent="0.25">
      <c r="A242" s="12" t="s">
        <v>407</v>
      </c>
      <c r="B242" s="12" t="s">
        <v>408</v>
      </c>
    </row>
    <row r="243" spans="1:8" x14ac:dyDescent="0.25">
      <c r="A243" s="13" t="s">
        <v>409</v>
      </c>
      <c r="B243" s="13" t="s">
        <v>410</v>
      </c>
      <c r="C243" s="76"/>
      <c r="D243" s="76"/>
      <c r="E243" s="76"/>
      <c r="F243" s="76"/>
      <c r="G243" s="76"/>
      <c r="H243" s="8">
        <f>SUM(H239:H242)</f>
        <v>0</v>
      </c>
    </row>
    <row r="244" spans="1:8" x14ac:dyDescent="0.25">
      <c r="A244" s="12" t="s">
        <v>12</v>
      </c>
      <c r="B244" s="12" t="s">
        <v>12</v>
      </c>
    </row>
    <row r="245" spans="1:8" ht="15.75" thickBot="1" x14ac:dyDescent="0.3">
      <c r="A245" s="14" t="s">
        <v>411</v>
      </c>
      <c r="B245" s="14" t="s">
        <v>49</v>
      </c>
      <c r="C245" s="77">
        <v>10787119.16</v>
      </c>
      <c r="D245" s="77"/>
      <c r="E245" s="77"/>
      <c r="F245" s="77"/>
      <c r="G245" s="77">
        <v>-10787119.16</v>
      </c>
      <c r="H245" s="9">
        <f>+H237+H243</f>
        <v>4714132.370000001</v>
      </c>
    </row>
    <row r="246" spans="1:8" ht="15.75" thickTop="1" x14ac:dyDescent="0.25"/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D220F-44FA-4A83-A08C-661316BE78E3}">
  <dimension ref="A1:H8"/>
  <sheetViews>
    <sheetView workbookViewId="0">
      <selection activeCell="F7" sqref="F7"/>
    </sheetView>
  </sheetViews>
  <sheetFormatPr defaultRowHeight="15" x14ac:dyDescent="0.25"/>
  <cols>
    <col min="1" max="1" width="12.42578125" style="45" customWidth="1"/>
    <col min="2" max="2" width="12.28515625" style="45" bestFit="1" customWidth="1"/>
    <col min="3" max="3" width="14.42578125" style="45" bestFit="1" customWidth="1"/>
    <col min="4" max="4" width="47.28515625" style="45" bestFit="1" customWidth="1"/>
    <col min="5" max="5" width="28.85546875" style="45" bestFit="1" customWidth="1"/>
    <col min="6" max="6" width="14.28515625" style="58" bestFit="1" customWidth="1"/>
    <col min="7" max="16384" width="9.140625" style="45"/>
  </cols>
  <sheetData>
    <row r="1" spans="1:8" x14ac:dyDescent="0.25">
      <c r="A1" s="65" t="s">
        <v>447</v>
      </c>
      <c r="B1" s="66"/>
      <c r="C1" s="66"/>
      <c r="D1" s="66"/>
      <c r="E1" s="66"/>
      <c r="F1" s="67"/>
    </row>
    <row r="2" spans="1:8" ht="18.75" x14ac:dyDescent="0.25">
      <c r="A2" s="68" t="s">
        <v>448</v>
      </c>
      <c r="B2" s="69"/>
      <c r="C2" s="69"/>
      <c r="D2" s="69"/>
      <c r="E2" s="69"/>
      <c r="F2" s="70"/>
    </row>
    <row r="3" spans="1:8" x14ac:dyDescent="0.25">
      <c r="A3" s="71" t="s">
        <v>449</v>
      </c>
      <c r="B3" s="47" t="s">
        <v>450</v>
      </c>
      <c r="C3" s="47" t="s">
        <v>451</v>
      </c>
      <c r="D3" s="47" t="s">
        <v>452</v>
      </c>
      <c r="E3" s="47" t="s">
        <v>453</v>
      </c>
      <c r="F3" s="57" t="s">
        <v>454</v>
      </c>
    </row>
    <row r="4" spans="1:8" x14ac:dyDescent="0.25">
      <c r="A4" s="71">
        <v>44232</v>
      </c>
      <c r="B4" s="47" t="s">
        <v>455</v>
      </c>
      <c r="C4" s="47" t="s">
        <v>63</v>
      </c>
      <c r="D4" s="47" t="s">
        <v>456</v>
      </c>
      <c r="E4" s="47" t="s">
        <v>457</v>
      </c>
      <c r="F4" s="59">
        <v>-2028110</v>
      </c>
      <c r="H4" s="47" t="s">
        <v>458</v>
      </c>
    </row>
    <row r="5" spans="1:8" x14ac:dyDescent="0.25">
      <c r="A5" s="71">
        <v>44197</v>
      </c>
      <c r="B5" s="47" t="s">
        <v>455</v>
      </c>
      <c r="C5" s="47" t="s">
        <v>63</v>
      </c>
      <c r="D5" s="47" t="s">
        <v>459</v>
      </c>
      <c r="E5" s="47" t="s">
        <v>457</v>
      </c>
      <c r="F5" s="59">
        <v>-4505263.16</v>
      </c>
      <c r="H5" s="47" t="s">
        <v>458</v>
      </c>
    </row>
    <row r="6" spans="1:8" x14ac:dyDescent="0.25">
      <c r="A6" s="71">
        <v>44197</v>
      </c>
      <c r="B6" s="47" t="s">
        <v>455</v>
      </c>
      <c r="C6" s="47" t="s">
        <v>63</v>
      </c>
      <c r="D6" s="47" t="s">
        <v>460</v>
      </c>
      <c r="E6" s="47" t="s">
        <v>457</v>
      </c>
      <c r="F6" s="59">
        <v>-4253746</v>
      </c>
      <c r="H6" s="47" t="s">
        <v>458</v>
      </c>
    </row>
    <row r="7" spans="1:8" x14ac:dyDescent="0.25">
      <c r="A7" s="71">
        <v>44335</v>
      </c>
      <c r="B7" s="47"/>
      <c r="C7" s="47"/>
      <c r="D7" s="47" t="s">
        <v>461</v>
      </c>
      <c r="E7" s="47"/>
      <c r="F7" s="59">
        <v>702986.79</v>
      </c>
      <c r="H7" s="47" t="s">
        <v>462</v>
      </c>
    </row>
    <row r="8" spans="1:8" x14ac:dyDescent="0.25">
      <c r="A8" s="71"/>
      <c r="B8" s="47"/>
      <c r="C8" s="47"/>
      <c r="D8" s="47"/>
      <c r="E8" s="47"/>
      <c r="F8" s="57">
        <f>SUM(F4:F7)</f>
        <v>-10084132.370000001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FD42F-7C97-4E31-9C47-EAC3C3F61C3B}">
  <dimension ref="A1:K23"/>
  <sheetViews>
    <sheetView workbookViewId="0">
      <selection activeCell="D25" sqref="D25"/>
    </sheetView>
  </sheetViews>
  <sheetFormatPr defaultRowHeight="15" x14ac:dyDescent="0.25"/>
  <cols>
    <col min="1" max="1" width="45.5703125" style="45" bestFit="1" customWidth="1"/>
    <col min="2" max="2" width="17" style="90" bestFit="1" customWidth="1"/>
    <col min="3" max="4" width="16" style="90" bestFit="1" customWidth="1"/>
    <col min="5" max="5" width="14.28515625" style="91" bestFit="1" customWidth="1"/>
    <col min="6" max="6" width="13.28515625" style="91" bestFit="1" customWidth="1"/>
    <col min="7" max="7" width="14.28515625" style="91" bestFit="1" customWidth="1"/>
    <col min="8" max="8" width="14.28515625" style="7" bestFit="1" customWidth="1"/>
    <col min="9" max="9" width="11.85546875" style="7" bestFit="1" customWidth="1"/>
    <col min="10" max="11" width="14.28515625" style="58" bestFit="1" customWidth="1"/>
    <col min="12" max="16384" width="9.140625" style="45"/>
  </cols>
  <sheetData>
    <row r="1" spans="1:11" x14ac:dyDescent="0.25">
      <c r="A1" s="61" t="s">
        <v>437</v>
      </c>
    </row>
    <row r="3" spans="1:11" x14ac:dyDescent="0.25">
      <c r="B3" s="91" t="s">
        <v>421</v>
      </c>
      <c r="C3" s="91" t="s">
        <v>423</v>
      </c>
      <c r="D3" s="91" t="s">
        <v>425</v>
      </c>
      <c r="E3" s="91" t="s">
        <v>426</v>
      </c>
      <c r="F3" s="91" t="s">
        <v>424</v>
      </c>
      <c r="G3" s="90"/>
      <c r="H3" s="7" t="s">
        <v>438</v>
      </c>
      <c r="I3" s="7" t="s">
        <v>439</v>
      </c>
      <c r="J3" s="45"/>
      <c r="K3" s="45"/>
    </row>
    <row r="4" spans="1:11" x14ac:dyDescent="0.25">
      <c r="B4" s="91"/>
      <c r="C4" s="91"/>
      <c r="D4" s="91"/>
      <c r="G4" s="90"/>
      <c r="I4" s="45"/>
      <c r="J4" s="45"/>
      <c r="K4" s="45"/>
    </row>
    <row r="5" spans="1:11" x14ac:dyDescent="0.25">
      <c r="A5" s="45" t="s">
        <v>440</v>
      </c>
      <c r="B5" s="92">
        <v>290.33</v>
      </c>
      <c r="C5" s="92">
        <v>95.33</v>
      </c>
      <c r="D5" s="92">
        <v>102.67</v>
      </c>
      <c r="E5" s="92">
        <v>104.33</v>
      </c>
      <c r="F5" s="92">
        <v>87.33</v>
      </c>
      <c r="G5" s="93">
        <f>SUM(B5:F5)</f>
        <v>679.99</v>
      </c>
      <c r="I5" s="45"/>
      <c r="J5" s="45"/>
      <c r="K5" s="45"/>
    </row>
    <row r="6" spans="1:11" x14ac:dyDescent="0.25">
      <c r="A6" s="45" t="s">
        <v>441</v>
      </c>
      <c r="B6" s="91">
        <f>[2]Odense!D41+[2]Odense!D42+[2]Odense!D43+[2]Odense!D44</f>
        <v>29477497.309999999</v>
      </c>
      <c r="C6" s="91">
        <f>[2]Assens!D41+[2]Assens!D42+[2]Assens!D43+[2]Assens!D44</f>
        <v>9483955.5600000005</v>
      </c>
      <c r="D6" s="91">
        <f>[2]Nordfyn!D41+[2]Nordfyn!D42+[2]Nordfyn!D43+[2]Nordfyn!D44</f>
        <v>10375110.300000001</v>
      </c>
      <c r="E6" s="91">
        <f>[2]Kerteminde!D41+[2]Kerteminde!D42+[2]Kerteminde!D43+[2]Kerteminde!D44</f>
        <v>10357183.199999999</v>
      </c>
      <c r="F6" s="91">
        <f>[2]Nyborg!D41+[2]Nyborg!D42+[2]Nyborg!D43+[2]Nyborg!D44</f>
        <v>8823634.1400000006</v>
      </c>
      <c r="G6" s="94">
        <f>SUM(B6:F6)</f>
        <v>68517380.510000005</v>
      </c>
      <c r="H6" s="7">
        <f>'[2]TOTAL ESTIMAT'!D41+'[2]TOTAL ESTIMAT'!D42+'[2]TOTAL ESTIMAT'!D43+'[2]TOTAL ESTIMAT'!D44</f>
        <v>68517380.50999999</v>
      </c>
      <c r="I6" s="62">
        <f>G6-H6</f>
        <v>0</v>
      </c>
      <c r="J6" s="45"/>
      <c r="K6" s="45"/>
    </row>
    <row r="7" spans="1:11" x14ac:dyDescent="0.25">
      <c r="A7" s="45" t="s">
        <v>442</v>
      </c>
      <c r="B7" s="91">
        <f>B6/B5</f>
        <v>101531.00716426136</v>
      </c>
      <c r="C7" s="91">
        <f>C6/C5</f>
        <v>99485.529843700831</v>
      </c>
      <c r="D7" s="91">
        <f>D6/D5</f>
        <v>101052.98821466837</v>
      </c>
      <c r="E7" s="91">
        <f>E6/E5</f>
        <v>99273.298188440516</v>
      </c>
      <c r="F7" s="91">
        <f>F6/F5</f>
        <v>101037.83510821025</v>
      </c>
      <c r="G7" s="90"/>
      <c r="I7" s="45"/>
      <c r="J7" s="45"/>
      <c r="K7" s="45"/>
    </row>
    <row r="8" spans="1:11" x14ac:dyDescent="0.25">
      <c r="A8" s="45" t="s">
        <v>443</v>
      </c>
      <c r="B8" s="92">
        <v>264</v>
      </c>
      <c r="C8" s="92">
        <v>94</v>
      </c>
      <c r="D8" s="92">
        <v>95</v>
      </c>
      <c r="E8" s="92">
        <v>99</v>
      </c>
      <c r="F8" s="92">
        <v>88</v>
      </c>
      <c r="G8" s="93">
        <f>SUM(B8:F8)</f>
        <v>640</v>
      </c>
      <c r="I8" s="45"/>
      <c r="J8" s="45"/>
      <c r="K8" s="45"/>
    </row>
    <row r="9" spans="1:11" x14ac:dyDescent="0.25">
      <c r="A9" s="45" t="s">
        <v>444</v>
      </c>
      <c r="B9" s="91">
        <f>B21</f>
        <v>23855836.665381402</v>
      </c>
      <c r="C9" s="91">
        <f>C21</f>
        <v>7833075.8423545929</v>
      </c>
      <c r="D9" s="91">
        <f>D21</f>
        <v>8436188.9933341667</v>
      </c>
      <c r="E9" s="91">
        <f>E21</f>
        <v>8572587.8803404458</v>
      </c>
      <c r="F9" s="91">
        <f>F21</f>
        <v>7175731.8085893895</v>
      </c>
      <c r="G9" s="94">
        <f>SUM(B9:F9)</f>
        <v>55873421.18999999</v>
      </c>
      <c r="I9" s="45"/>
      <c r="J9" s="45"/>
      <c r="K9" s="45"/>
    </row>
    <row r="10" spans="1:11" x14ac:dyDescent="0.25">
      <c r="A10" s="45" t="s">
        <v>439</v>
      </c>
      <c r="B10" s="91">
        <f>B6-B9</f>
        <v>5621660.6446185969</v>
      </c>
      <c r="C10" s="91">
        <f t="shared" ref="C10:F10" si="0">C6-C9</f>
        <v>1650879.7176454077</v>
      </c>
      <c r="D10" s="91">
        <f t="shared" si="0"/>
        <v>1938921.306665834</v>
      </c>
      <c r="E10" s="91">
        <f t="shared" si="0"/>
        <v>1784595.3196595535</v>
      </c>
      <c r="F10" s="91">
        <f t="shared" si="0"/>
        <v>1647902.331410611</v>
      </c>
      <c r="G10" s="94">
        <f>SUM(B10:F10)</f>
        <v>12643959.320000002</v>
      </c>
      <c r="I10" s="45"/>
      <c r="J10" s="45"/>
      <c r="K10" s="45"/>
    </row>
    <row r="11" spans="1:11" x14ac:dyDescent="0.25">
      <c r="B11" s="91"/>
      <c r="C11" s="91"/>
      <c r="D11" s="91"/>
      <c r="G11" s="90"/>
      <c r="I11" s="45"/>
      <c r="J11" s="45"/>
      <c r="K11" s="45"/>
    </row>
    <row r="12" spans="1:11" x14ac:dyDescent="0.25">
      <c r="B12" s="91"/>
      <c r="C12" s="91"/>
      <c r="D12" s="91"/>
      <c r="G12" s="90"/>
      <c r="I12" s="45"/>
      <c r="J12" s="45"/>
      <c r="K12" s="45"/>
    </row>
    <row r="13" spans="1:11" x14ac:dyDescent="0.25">
      <c r="A13" s="45" t="s">
        <v>445</v>
      </c>
      <c r="B13" s="91">
        <f>[2]Odense!C41+[2]Odense!C42+[2]Odense!C43+[2]Odense!C44</f>
        <v>6488154.3100000005</v>
      </c>
      <c r="C13" s="91">
        <f>[2]Assens!C41+[2]Assens!C42+[2]Assens!C43+[2]Assens!C44</f>
        <v>2112422.37</v>
      </c>
      <c r="D13" s="91">
        <f>[2]Nordfyn!C41+[2]Nordfyn!C42+[2]Nordfyn!C43+[2]Nordfyn!C44</f>
        <v>2263309.65</v>
      </c>
      <c r="E13" s="91">
        <f>[2]Kerteminde!C41+[2]Kerteminde!C42+[2]Kerteminde!C43+[2]Kerteminde!C44</f>
        <v>1961535.02</v>
      </c>
      <c r="F13" s="91">
        <f>[2]Nyborg!C41+[2]Nyborg!C42+[2]Nyborg!C43+[2]Nyborg!C44</f>
        <v>2263309.65</v>
      </c>
      <c r="G13" s="94">
        <f>SUM(B13:F13)</f>
        <v>15088731</v>
      </c>
      <c r="H13" s="7">
        <f>'[2]TOTAL ESTIMAT'!C41+'[2]TOTAL ESTIMAT'!C42+'[2]TOTAL ESTIMAT'!C43+'[2]TOTAL ESTIMAT'!C44</f>
        <v>15088731</v>
      </c>
      <c r="I13" s="62">
        <f>G13-H13</f>
        <v>0</v>
      </c>
      <c r="J13" s="45"/>
      <c r="K13" s="45"/>
    </row>
    <row r="14" spans="1:11" x14ac:dyDescent="0.25">
      <c r="B14" s="91"/>
      <c r="C14" s="91"/>
      <c r="D14" s="91"/>
      <c r="G14" s="90"/>
      <c r="I14" s="45"/>
      <c r="J14" s="45"/>
      <c r="K14" s="45"/>
    </row>
    <row r="15" spans="1:11" x14ac:dyDescent="0.25">
      <c r="H15" s="7">
        <f>G9/4</f>
        <v>13968355.297499998</v>
      </c>
    </row>
    <row r="17" spans="1:11" s="63" customFormat="1" x14ac:dyDescent="0.25">
      <c r="A17" s="63" t="s">
        <v>446</v>
      </c>
      <c r="B17" s="95">
        <f>B5/G5</f>
        <v>0.42696216120825303</v>
      </c>
      <c r="C17" s="95">
        <f>C5/G5</f>
        <v>0.14019323813585494</v>
      </c>
      <c r="D17" s="95">
        <f>D5/G5</f>
        <v>0.15098751452227238</v>
      </c>
      <c r="E17" s="95">
        <f>E5/G5</f>
        <v>0.15342872689304254</v>
      </c>
      <c r="F17" s="95">
        <f>F5/G5</f>
        <v>0.12842835924057705</v>
      </c>
      <c r="G17" s="95"/>
      <c r="H17" s="64"/>
      <c r="I17" s="64"/>
      <c r="J17" s="64"/>
      <c r="K17" s="64"/>
    </row>
    <row r="21" spans="1:11" x14ac:dyDescent="0.25">
      <c r="A21" s="45" t="s">
        <v>463</v>
      </c>
      <c r="B21" s="96">
        <f>G21*B17</f>
        <v>23855836.665381402</v>
      </c>
      <c r="C21" s="96">
        <f>G21*C17</f>
        <v>7833075.8423545929</v>
      </c>
      <c r="D21" s="96">
        <f>G21*D17</f>
        <v>8436188.9933341667</v>
      </c>
      <c r="E21" s="91">
        <f>G21*E17</f>
        <v>8572587.8803404458</v>
      </c>
      <c r="F21" s="91">
        <f>G21*F17</f>
        <v>7175731.8085893895</v>
      </c>
      <c r="G21" s="91">
        <v>55873421.189999998</v>
      </c>
    </row>
    <row r="23" spans="1:11" x14ac:dyDescent="0.25">
      <c r="A23" s="45" t="s">
        <v>478</v>
      </c>
      <c r="B23" s="96">
        <f>G23*B17</f>
        <v>555050.80957072892</v>
      </c>
      <c r="C23" s="96">
        <f>G23*C17</f>
        <v>182251.20957661141</v>
      </c>
      <c r="D23" s="96">
        <f>G23*D17</f>
        <v>196283.76887895408</v>
      </c>
      <c r="E23" s="91">
        <f>G23*E17</f>
        <v>199457.34496095532</v>
      </c>
      <c r="F23" s="91">
        <f>G23*F17</f>
        <v>166956.86701275015</v>
      </c>
      <c r="G23" s="91">
        <v>1300000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5"/>
  <sheetViews>
    <sheetView topLeftCell="E16" zoomScaleNormal="100" workbookViewId="0">
      <selection activeCell="P25" sqref="P25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3" width="14.28515625" style="50" customWidth="1"/>
    <col min="4" max="4" width="14.28515625" style="50" bestFit="1" customWidth="1"/>
    <col min="5" max="5" width="11.7109375" style="50" bestFit="1" customWidth="1"/>
    <col min="6" max="6" width="20.85546875" style="50" bestFit="1" customWidth="1"/>
    <col min="7" max="7" width="14.28515625" style="50" bestFit="1" customWidth="1"/>
    <col min="8" max="8" width="13.28515625" bestFit="1" customWidth="1"/>
    <col min="9" max="9" width="13.28515625" style="50" bestFit="1" customWidth="1"/>
    <col min="10" max="10" width="14.28515625" style="50" bestFit="1" customWidth="1"/>
    <col min="11" max="15" width="13.28515625" style="50" bestFit="1" customWidth="1"/>
    <col min="16" max="16" width="14.28515625" style="50" bestFit="1" customWidth="1"/>
  </cols>
  <sheetData>
    <row r="1" spans="1:16" x14ac:dyDescent="0.25">
      <c r="A1" s="1" t="s">
        <v>0</v>
      </c>
    </row>
    <row r="2" spans="1:16" x14ac:dyDescent="0.25">
      <c r="A2" s="2" t="s">
        <v>1</v>
      </c>
      <c r="B2" s="2" t="s">
        <v>2</v>
      </c>
    </row>
    <row r="3" spans="1:16" x14ac:dyDescent="0.25">
      <c r="A3" s="2" t="s">
        <v>3</v>
      </c>
      <c r="B3" s="2" t="s">
        <v>4</v>
      </c>
    </row>
    <row r="5" spans="1:16" x14ac:dyDescent="0.25">
      <c r="A5" s="2" t="s">
        <v>5</v>
      </c>
      <c r="B5" s="2" t="s">
        <v>6</v>
      </c>
    </row>
    <row r="7" spans="1:16" x14ac:dyDescent="0.25">
      <c r="C7" s="50" t="s">
        <v>7</v>
      </c>
      <c r="D7" s="50" t="s">
        <v>8</v>
      </c>
      <c r="E7" s="50" t="s">
        <v>9</v>
      </c>
      <c r="F7" s="50" t="s">
        <v>10</v>
      </c>
      <c r="G7" s="50" t="s">
        <v>11</v>
      </c>
      <c r="I7" s="50" t="s">
        <v>420</v>
      </c>
      <c r="J7" s="50" t="s">
        <v>421</v>
      </c>
      <c r="K7" s="50" t="s">
        <v>422</v>
      </c>
      <c r="L7" s="50" t="s">
        <v>423</v>
      </c>
      <c r="M7" s="50" t="s">
        <v>424</v>
      </c>
      <c r="N7" s="50" t="s">
        <v>425</v>
      </c>
      <c r="O7" s="50" t="s">
        <v>426</v>
      </c>
      <c r="P7" s="50" t="s">
        <v>427</v>
      </c>
    </row>
    <row r="8" spans="1:16" x14ac:dyDescent="0.25">
      <c r="A8" s="3" t="s">
        <v>12</v>
      </c>
      <c r="B8" s="3" t="s">
        <v>13</v>
      </c>
      <c r="C8" s="51"/>
      <c r="D8" s="51"/>
      <c r="E8" s="51"/>
      <c r="F8" s="51"/>
      <c r="G8" s="51"/>
      <c r="I8" s="51"/>
      <c r="J8" s="51"/>
      <c r="K8" s="51"/>
      <c r="L8" s="51"/>
      <c r="M8" s="51"/>
      <c r="N8" s="51"/>
      <c r="O8" s="51"/>
      <c r="P8" s="51"/>
    </row>
    <row r="9" spans="1:16" x14ac:dyDescent="0.25">
      <c r="A9" s="2" t="s">
        <v>12</v>
      </c>
      <c r="B9" s="2" t="s">
        <v>12</v>
      </c>
    </row>
    <row r="10" spans="1:16" x14ac:dyDescent="0.25">
      <c r="A10" s="2" t="s">
        <v>14</v>
      </c>
      <c r="B10" s="2" t="s">
        <v>15</v>
      </c>
      <c r="C10" s="50">
        <v>46576460.770000003</v>
      </c>
      <c r="D10" s="50">
        <v>90947976.510000005</v>
      </c>
      <c r="E10" s="50">
        <v>48.79</v>
      </c>
      <c r="F10" s="50">
        <v>51.21</v>
      </c>
      <c r="G10" s="50">
        <v>44371515.740000002</v>
      </c>
      <c r="I10" s="50">
        <v>1113425</v>
      </c>
      <c r="J10" s="50">
        <v>13897827.65</v>
      </c>
      <c r="L10" s="50">
        <v>5118841.3499999996</v>
      </c>
      <c r="M10" s="50">
        <v>5421565</v>
      </c>
      <c r="N10" s="50">
        <v>5421565</v>
      </c>
      <c r="O10" s="50">
        <v>4816117.6100000003</v>
      </c>
      <c r="P10" s="50">
        <v>10787119.16</v>
      </c>
    </row>
    <row r="11" spans="1:16" x14ac:dyDescent="0.25">
      <c r="A11" s="2" t="s">
        <v>16</v>
      </c>
      <c r="B11" s="2" t="s">
        <v>17</v>
      </c>
      <c r="C11" s="50">
        <v>3310489.05</v>
      </c>
      <c r="D11" s="50">
        <v>5639295.6699999999</v>
      </c>
      <c r="E11" s="50">
        <v>41.3</v>
      </c>
      <c r="F11" s="50">
        <v>58.7</v>
      </c>
      <c r="G11" s="50">
        <v>2328806.62</v>
      </c>
      <c r="I11" s="50">
        <v>13148</v>
      </c>
      <c r="J11" s="50">
        <v>307843.27</v>
      </c>
      <c r="K11" s="50">
        <v>2767173.9</v>
      </c>
      <c r="L11" s="50">
        <v>59779.95</v>
      </c>
      <c r="M11" s="50">
        <v>12939.53</v>
      </c>
      <c r="N11" s="50">
        <v>131129.20000000001</v>
      </c>
      <c r="O11" s="50">
        <v>18475.2</v>
      </c>
    </row>
    <row r="12" spans="1:16" x14ac:dyDescent="0.25">
      <c r="A12" s="2" t="s">
        <v>18</v>
      </c>
      <c r="B12" s="2" t="s">
        <v>19</v>
      </c>
      <c r="C12" s="50">
        <v>362884.2</v>
      </c>
      <c r="G12" s="50">
        <v>-362884.2</v>
      </c>
      <c r="I12" s="50">
        <v>4644.5</v>
      </c>
      <c r="J12" s="50">
        <v>234696</v>
      </c>
      <c r="M12" s="50">
        <v>22758.05</v>
      </c>
      <c r="N12" s="50">
        <v>25544.75</v>
      </c>
      <c r="O12" s="50">
        <v>75240.899999999994</v>
      </c>
    </row>
    <row r="13" spans="1:16" x14ac:dyDescent="0.25">
      <c r="A13" s="3" t="s">
        <v>20</v>
      </c>
      <c r="B13" s="3" t="s">
        <v>21</v>
      </c>
      <c r="C13" s="51">
        <v>50249834.020000003</v>
      </c>
      <c r="D13" s="51">
        <v>96587272.180000007</v>
      </c>
      <c r="E13" s="51">
        <v>47.97</v>
      </c>
      <c r="F13" s="51">
        <v>52.03</v>
      </c>
      <c r="G13" s="51">
        <v>46337438.159999996</v>
      </c>
      <c r="I13" s="51">
        <v>1131217.5</v>
      </c>
      <c r="J13" s="51">
        <v>14440366.92</v>
      </c>
      <c r="K13" s="51">
        <v>2767173.9</v>
      </c>
      <c r="L13" s="51">
        <v>5178621.3</v>
      </c>
      <c r="M13" s="51">
        <v>5457262.5800000001</v>
      </c>
      <c r="N13" s="51">
        <v>5578238.9500000002</v>
      </c>
      <c r="O13" s="51">
        <v>4909833.71</v>
      </c>
      <c r="P13" s="51">
        <v>10787119.16</v>
      </c>
    </row>
    <row r="14" spans="1:16" x14ac:dyDescent="0.25">
      <c r="A14" s="2" t="s">
        <v>12</v>
      </c>
      <c r="B14" s="2" t="s">
        <v>12</v>
      </c>
    </row>
    <row r="15" spans="1:16" x14ac:dyDescent="0.25">
      <c r="A15" s="3" t="s">
        <v>12</v>
      </c>
      <c r="B15" s="3" t="s">
        <v>22</v>
      </c>
      <c r="C15" s="51"/>
      <c r="D15" s="51"/>
      <c r="E15" s="51"/>
      <c r="F15" s="51"/>
      <c r="G15" s="51"/>
      <c r="I15" s="51"/>
      <c r="J15" s="51"/>
      <c r="K15" s="51"/>
      <c r="L15" s="51"/>
      <c r="M15" s="51"/>
      <c r="N15" s="51"/>
      <c r="O15" s="51"/>
      <c r="P15" s="51"/>
    </row>
    <row r="16" spans="1:16" x14ac:dyDescent="0.25">
      <c r="A16" s="2" t="s">
        <v>23</v>
      </c>
      <c r="B16" s="2" t="s">
        <v>24</v>
      </c>
    </row>
    <row r="17" spans="1:16" x14ac:dyDescent="0.25">
      <c r="A17" s="2" t="s">
        <v>25</v>
      </c>
      <c r="B17" s="2" t="s">
        <v>26</v>
      </c>
      <c r="C17" s="50">
        <v>-459230.14</v>
      </c>
      <c r="D17" s="50">
        <v>-1051606</v>
      </c>
      <c r="E17" s="50">
        <v>56.33</v>
      </c>
      <c r="F17" s="50">
        <v>43.67</v>
      </c>
      <c r="G17" s="50">
        <v>-592375.86</v>
      </c>
      <c r="I17" s="50">
        <v>-11383.84</v>
      </c>
      <c r="J17" s="50">
        <v>-13544.87</v>
      </c>
      <c r="K17" s="50">
        <v>-5496.4</v>
      </c>
      <c r="L17" s="50">
        <v>-168399.45</v>
      </c>
      <c r="M17" s="50">
        <v>-90553.25</v>
      </c>
      <c r="N17" s="50">
        <v>-88927.33</v>
      </c>
      <c r="O17" s="50">
        <v>-80925</v>
      </c>
    </row>
    <row r="18" spans="1:16" x14ac:dyDescent="0.25">
      <c r="A18" s="2" t="s">
        <v>27</v>
      </c>
      <c r="B18" s="2" t="s">
        <v>28</v>
      </c>
    </row>
    <row r="19" spans="1:16" x14ac:dyDescent="0.25">
      <c r="A19" s="2" t="s">
        <v>12</v>
      </c>
      <c r="B19" s="2" t="s">
        <v>12</v>
      </c>
    </row>
    <row r="20" spans="1:16" x14ac:dyDescent="0.25">
      <c r="A20" s="2" t="s">
        <v>29</v>
      </c>
      <c r="B20" s="2" t="s">
        <v>30</v>
      </c>
      <c r="C20" s="50">
        <v>-33063795.859999999</v>
      </c>
      <c r="D20" s="50">
        <v>-66770111.689999998</v>
      </c>
      <c r="E20" s="50">
        <v>50.48</v>
      </c>
      <c r="F20" s="50">
        <v>49.52</v>
      </c>
      <c r="G20" s="50">
        <v>-33706315.829999998</v>
      </c>
      <c r="I20" s="50">
        <v>-2651056.3199999998</v>
      </c>
      <c r="J20" s="50">
        <v>-11387058.869999999</v>
      </c>
      <c r="K20" s="50">
        <v>-909562.75</v>
      </c>
      <c r="L20" s="50">
        <v>-3785763.66</v>
      </c>
      <c r="M20" s="50">
        <v>-3568305.73</v>
      </c>
      <c r="N20" s="50">
        <v>-5627465.7999999998</v>
      </c>
      <c r="O20" s="50">
        <v>-5134582.7300000004</v>
      </c>
    </row>
    <row r="21" spans="1:16" x14ac:dyDescent="0.25">
      <c r="A21" s="3" t="s">
        <v>31</v>
      </c>
      <c r="B21" s="3" t="s">
        <v>32</v>
      </c>
      <c r="C21" s="51">
        <v>-33523026</v>
      </c>
      <c r="D21" s="51">
        <v>-67821717.689999998</v>
      </c>
      <c r="E21" s="51">
        <v>50.57</v>
      </c>
      <c r="F21" s="51">
        <v>49.43</v>
      </c>
      <c r="G21" s="51">
        <v>-34298691.689999998</v>
      </c>
      <c r="I21" s="51">
        <v>-2662440.16</v>
      </c>
      <c r="J21" s="51">
        <v>-11400603.74</v>
      </c>
      <c r="K21" s="51">
        <v>-915059.15</v>
      </c>
      <c r="L21" s="51">
        <v>-3954163.11</v>
      </c>
      <c r="M21" s="51">
        <v>-3658858.98</v>
      </c>
      <c r="N21" s="51">
        <v>-5716393.1299999999</v>
      </c>
      <c r="O21" s="51">
        <v>-5215507.7300000004</v>
      </c>
      <c r="P21" s="51"/>
    </row>
    <row r="22" spans="1:16" x14ac:dyDescent="0.25">
      <c r="A22" s="2" t="s">
        <v>12</v>
      </c>
      <c r="B22" s="2" t="s">
        <v>12</v>
      </c>
    </row>
    <row r="23" spans="1:16" x14ac:dyDescent="0.25">
      <c r="A23" s="2" t="s">
        <v>33</v>
      </c>
      <c r="B23" s="2" t="s">
        <v>34</v>
      </c>
      <c r="C23" s="50">
        <v>1186063.17</v>
      </c>
      <c r="D23" s="50">
        <v>813348.36</v>
      </c>
      <c r="E23" s="50">
        <v>-45.82</v>
      </c>
      <c r="F23" s="50">
        <v>145.82</v>
      </c>
      <c r="G23" s="50">
        <v>-372714.81</v>
      </c>
      <c r="I23" s="50">
        <v>1080493.52</v>
      </c>
      <c r="J23" s="50">
        <v>45141.36</v>
      </c>
      <c r="L23" s="50">
        <v>3850</v>
      </c>
      <c r="M23" s="50">
        <v>10983.84</v>
      </c>
      <c r="N23" s="50">
        <v>31970.62</v>
      </c>
      <c r="O23" s="50">
        <v>13623.83</v>
      </c>
    </row>
    <row r="24" spans="1:16" x14ac:dyDescent="0.25">
      <c r="A24" s="2" t="s">
        <v>35</v>
      </c>
      <c r="B24" s="2" t="s">
        <v>36</v>
      </c>
      <c r="C24" s="50">
        <v>-9145002.5</v>
      </c>
      <c r="D24" s="50">
        <v>-30277905.449999999</v>
      </c>
      <c r="E24" s="50">
        <v>69.8</v>
      </c>
      <c r="F24" s="50">
        <v>30.2</v>
      </c>
      <c r="G24" s="50">
        <v>-21132902.949999999</v>
      </c>
      <c r="I24" s="50">
        <v>454043.64</v>
      </c>
      <c r="J24" s="50">
        <v>-3975625.61</v>
      </c>
      <c r="K24" s="50">
        <v>-679426.49</v>
      </c>
      <c r="L24" s="50">
        <v>-1279994.8799999999</v>
      </c>
      <c r="M24" s="50">
        <v>-1000312</v>
      </c>
      <c r="N24" s="50">
        <v>-1208243.96</v>
      </c>
      <c r="O24" s="50">
        <v>-1455443.2</v>
      </c>
    </row>
    <row r="25" spans="1:16" x14ac:dyDescent="0.25">
      <c r="A25" s="2" t="s">
        <v>37</v>
      </c>
      <c r="B25" s="2" t="s">
        <v>38</v>
      </c>
      <c r="C25" s="50">
        <v>-1246.72</v>
      </c>
      <c r="D25" s="50">
        <v>42000</v>
      </c>
      <c r="E25" s="50">
        <v>102.97</v>
      </c>
      <c r="F25" s="50">
        <v>-2.97</v>
      </c>
      <c r="G25" s="50">
        <v>43246.720000000001</v>
      </c>
      <c r="I25" s="50">
        <v>418.28</v>
      </c>
      <c r="J25" s="50">
        <v>-1665</v>
      </c>
    </row>
    <row r="26" spans="1:16" x14ac:dyDescent="0.25">
      <c r="A26" s="2" t="s">
        <v>39</v>
      </c>
      <c r="B26" s="2" t="s">
        <v>40</v>
      </c>
      <c r="C26" s="50">
        <v>-131604.32999999999</v>
      </c>
      <c r="D26" s="50">
        <v>-463483.58</v>
      </c>
      <c r="E26" s="50">
        <v>71.61</v>
      </c>
      <c r="F26" s="50">
        <v>28.39</v>
      </c>
      <c r="G26" s="50">
        <v>-331879.25</v>
      </c>
      <c r="I26" s="50">
        <v>-3732.78</v>
      </c>
      <c r="J26" s="50">
        <v>-2563.59</v>
      </c>
      <c r="K26" s="50">
        <v>-973.49</v>
      </c>
      <c r="L26" s="50">
        <v>-1934.01</v>
      </c>
      <c r="M26" s="50">
        <v>-313.33</v>
      </c>
      <c r="N26" s="50">
        <v>-7971.71</v>
      </c>
      <c r="O26" s="50">
        <v>-114115.42</v>
      </c>
    </row>
    <row r="27" spans="1:16" x14ac:dyDescent="0.25">
      <c r="A27" s="2" t="s">
        <v>41</v>
      </c>
      <c r="B27" s="2" t="s">
        <v>42</v>
      </c>
    </row>
    <row r="28" spans="1:16" x14ac:dyDescent="0.25">
      <c r="A28" s="2" t="s">
        <v>43</v>
      </c>
      <c r="B28" s="2" t="s">
        <v>44</v>
      </c>
    </row>
    <row r="29" spans="1:16" x14ac:dyDescent="0.25">
      <c r="A29" s="2" t="s">
        <v>12</v>
      </c>
      <c r="B29" s="2" t="s">
        <v>12</v>
      </c>
    </row>
    <row r="30" spans="1:16" ht="15.75" thickBot="1" x14ac:dyDescent="0.3">
      <c r="A30" s="4" t="s">
        <v>45</v>
      </c>
      <c r="B30" s="4" t="s">
        <v>46</v>
      </c>
      <c r="C30" s="52">
        <v>8635017.6400000006</v>
      </c>
      <c r="D30" s="52">
        <v>-1120486.18</v>
      </c>
      <c r="E30" s="52">
        <v>870.65</v>
      </c>
      <c r="F30" s="52">
        <v>-770.65</v>
      </c>
      <c r="G30" s="52">
        <v>-9755503.8200000003</v>
      </c>
      <c r="H30" s="89"/>
      <c r="I30" s="52"/>
      <c r="J30" s="52">
        <v>-894949.66</v>
      </c>
      <c r="K30" s="52">
        <v>1171714.77</v>
      </c>
      <c r="L30" s="52">
        <v>-53620.7</v>
      </c>
      <c r="M30" s="52">
        <v>808762.11</v>
      </c>
      <c r="N30" s="52">
        <v>-1322399.23</v>
      </c>
      <c r="O30" s="52">
        <v>-1861608.81</v>
      </c>
      <c r="P30" s="52">
        <v>10787119.16</v>
      </c>
    </row>
    <row r="31" spans="1:16" ht="15.75" thickTop="1" x14ac:dyDescent="0.25">
      <c r="A31" s="2" t="s">
        <v>12</v>
      </c>
      <c r="B31" s="2" t="s">
        <v>12</v>
      </c>
    </row>
    <row r="32" spans="1:16" x14ac:dyDescent="0.25">
      <c r="A32" s="2" t="s">
        <v>47</v>
      </c>
      <c r="B32" s="2" t="s">
        <v>48</v>
      </c>
      <c r="C32" s="50">
        <v>-1533418.31</v>
      </c>
      <c r="D32" s="50">
        <v>-3644077.35</v>
      </c>
      <c r="E32" s="50">
        <v>57.92</v>
      </c>
      <c r="F32" s="50">
        <v>42.08</v>
      </c>
      <c r="G32" s="50">
        <v>-2110659.04</v>
      </c>
      <c r="J32" s="50">
        <v>-622020.93999999994</v>
      </c>
      <c r="K32" s="50">
        <v>-10768.2</v>
      </c>
      <c r="L32" s="50">
        <v>-206904.92</v>
      </c>
      <c r="M32" s="50">
        <v>-71340.66</v>
      </c>
      <c r="N32" s="50">
        <v>-246196.6</v>
      </c>
      <c r="O32" s="50">
        <v>-376186.99</v>
      </c>
    </row>
    <row r="33" spans="1:16" x14ac:dyDescent="0.25">
      <c r="A33" s="2" t="s">
        <v>12</v>
      </c>
      <c r="B33" s="2" t="s">
        <v>12</v>
      </c>
    </row>
    <row r="34" spans="1:16" ht="15.75" thickBot="1" x14ac:dyDescent="0.3">
      <c r="A34" s="4" t="s">
        <v>12</v>
      </c>
      <c r="B34" s="4" t="s">
        <v>49</v>
      </c>
      <c r="C34" s="52">
        <v>7101599.3300000001</v>
      </c>
      <c r="D34" s="52">
        <v>-4764563.53</v>
      </c>
      <c r="E34" s="52">
        <v>249.05</v>
      </c>
      <c r="F34" s="52">
        <v>-149.05000000000001</v>
      </c>
      <c r="G34" s="52">
        <v>-11866162.859999999</v>
      </c>
      <c r="I34" s="52"/>
      <c r="J34" s="52">
        <v>-1516970.6</v>
      </c>
      <c r="K34" s="52">
        <v>1160946.57</v>
      </c>
      <c r="L34" s="52">
        <v>-260525.62</v>
      </c>
      <c r="M34" s="52">
        <v>737421.45</v>
      </c>
      <c r="N34" s="52">
        <v>-1568595.83</v>
      </c>
      <c r="O34" s="52">
        <v>-2237795.7999999998</v>
      </c>
      <c r="P34" s="52">
        <v>10787119.16</v>
      </c>
    </row>
    <row r="35" spans="1:16" ht="15.75" thickTop="1" x14ac:dyDescent="0.25">
      <c r="A35" s="2" t="s">
        <v>12</v>
      </c>
      <c r="B35" s="2" t="s">
        <v>12</v>
      </c>
    </row>
    <row r="36" spans="1:16" x14ac:dyDescent="0.25">
      <c r="A36" s="3" t="s">
        <v>12</v>
      </c>
      <c r="B36" s="3" t="s">
        <v>50</v>
      </c>
      <c r="C36" s="51"/>
      <c r="D36" s="51"/>
      <c r="E36" s="51"/>
      <c r="F36" s="51"/>
      <c r="G36" s="51">
        <f>G34-G244</f>
        <v>0</v>
      </c>
      <c r="I36" s="51">
        <f t="shared" ref="I36:P36" si="0">I34-I244</f>
        <v>0</v>
      </c>
      <c r="J36" s="51">
        <f t="shared" si="0"/>
        <v>0</v>
      </c>
      <c r="K36" s="51">
        <f t="shared" si="0"/>
        <v>0</v>
      </c>
      <c r="L36" s="51">
        <f t="shared" si="0"/>
        <v>0</v>
      </c>
      <c r="M36" s="51">
        <f t="shared" si="0"/>
        <v>0</v>
      </c>
      <c r="N36" s="51">
        <f t="shared" si="0"/>
        <v>0</v>
      </c>
      <c r="O36" s="51">
        <f t="shared" si="0"/>
        <v>0</v>
      </c>
      <c r="P36" s="51">
        <f t="shared" si="0"/>
        <v>0</v>
      </c>
    </row>
    <row r="37" spans="1:16" x14ac:dyDescent="0.25">
      <c r="A37" s="2" t="s">
        <v>12</v>
      </c>
      <c r="B37" s="2" t="s">
        <v>12</v>
      </c>
    </row>
    <row r="38" spans="1:16" x14ac:dyDescent="0.25">
      <c r="A38" s="3" t="s">
        <v>51</v>
      </c>
      <c r="B38" s="3" t="s">
        <v>52</v>
      </c>
      <c r="C38" s="51"/>
      <c r="D38" s="51"/>
      <c r="E38" s="51"/>
      <c r="F38" s="51"/>
      <c r="G38" s="51"/>
      <c r="I38" s="51"/>
      <c r="J38" s="51"/>
      <c r="K38" s="51"/>
      <c r="L38" s="51"/>
      <c r="M38" s="51"/>
      <c r="N38" s="51"/>
      <c r="O38" s="51"/>
      <c r="P38" s="51"/>
    </row>
    <row r="39" spans="1:16" x14ac:dyDescent="0.25">
      <c r="A39" s="2" t="s">
        <v>53</v>
      </c>
      <c r="B39" s="2" t="s">
        <v>54</v>
      </c>
      <c r="C39" s="50">
        <v>28865159.129999999</v>
      </c>
      <c r="D39" s="50">
        <v>64739024.600000001</v>
      </c>
      <c r="E39" s="50">
        <v>55.41</v>
      </c>
      <c r="F39" s="50">
        <v>44.59</v>
      </c>
      <c r="G39" s="50">
        <v>35873865.469999999</v>
      </c>
      <c r="J39" s="50">
        <v>12412018.460000001</v>
      </c>
      <c r="L39" s="50">
        <v>4041122.3</v>
      </c>
      <c r="M39" s="50">
        <v>4329773.8600000003</v>
      </c>
      <c r="N39" s="50">
        <v>4329773.8600000003</v>
      </c>
      <c r="O39" s="50">
        <v>3752470.65</v>
      </c>
    </row>
    <row r="40" spans="1:16" x14ac:dyDescent="0.25">
      <c r="A40" s="2" t="s">
        <v>55</v>
      </c>
      <c r="B40" s="2" t="s">
        <v>56</v>
      </c>
      <c r="C40" s="50">
        <v>60595.199999999997</v>
      </c>
      <c r="D40" s="50">
        <v>3691120</v>
      </c>
      <c r="E40" s="50">
        <v>98.36</v>
      </c>
      <c r="F40" s="50">
        <v>1.64</v>
      </c>
      <c r="G40" s="50">
        <v>3630524.8</v>
      </c>
      <c r="J40" s="50">
        <v>26055.91</v>
      </c>
      <c r="L40" s="50">
        <v>8483.33</v>
      </c>
      <c r="M40" s="50">
        <v>9089.2900000000009</v>
      </c>
      <c r="N40" s="50">
        <v>9089.2900000000009</v>
      </c>
      <c r="O40" s="50">
        <v>7877.38</v>
      </c>
    </row>
    <row r="41" spans="1:16" x14ac:dyDescent="0.25">
      <c r="A41" s="2" t="s">
        <v>57</v>
      </c>
      <c r="B41" s="2" t="s">
        <v>58</v>
      </c>
      <c r="C41" s="50">
        <v>107318.33</v>
      </c>
      <c r="G41" s="50">
        <v>-107318.33</v>
      </c>
      <c r="J41" s="50">
        <v>46146.879999999997</v>
      </c>
      <c r="L41" s="50">
        <v>15024.57</v>
      </c>
      <c r="M41" s="50">
        <v>16097.75</v>
      </c>
      <c r="N41" s="50">
        <v>16097.75</v>
      </c>
      <c r="O41" s="50">
        <v>13951.38</v>
      </c>
    </row>
    <row r="42" spans="1:16" x14ac:dyDescent="0.25">
      <c r="A42" s="2" t="s">
        <v>59</v>
      </c>
      <c r="B42" s="2" t="s">
        <v>60</v>
      </c>
      <c r="C42" s="50">
        <v>9595.9500000000007</v>
      </c>
      <c r="D42" s="50">
        <v>87235.91</v>
      </c>
      <c r="E42" s="50">
        <v>89</v>
      </c>
      <c r="F42" s="50">
        <v>11</v>
      </c>
      <c r="G42" s="50">
        <v>77639.960000000006</v>
      </c>
      <c r="J42" s="50">
        <v>4126.26</v>
      </c>
      <c r="L42" s="50">
        <v>1343.43</v>
      </c>
      <c r="M42" s="50">
        <v>1439.4</v>
      </c>
      <c r="N42" s="50">
        <v>1439.4</v>
      </c>
      <c r="O42" s="50">
        <v>1247.46</v>
      </c>
    </row>
    <row r="43" spans="1:16" x14ac:dyDescent="0.25">
      <c r="A43" s="2" t="s">
        <v>61</v>
      </c>
      <c r="B43" s="2" t="s">
        <v>62</v>
      </c>
      <c r="C43" s="50">
        <v>5516975</v>
      </c>
      <c r="D43" s="50">
        <v>11033950</v>
      </c>
      <c r="E43" s="50">
        <v>50</v>
      </c>
      <c r="F43" s="50">
        <v>50</v>
      </c>
      <c r="G43" s="50">
        <v>5516975</v>
      </c>
      <c r="I43" s="50">
        <v>1113425</v>
      </c>
      <c r="J43" s="50">
        <v>880710</v>
      </c>
      <c r="L43" s="50">
        <v>880710</v>
      </c>
      <c r="M43" s="50">
        <v>880710</v>
      </c>
      <c r="N43" s="50">
        <v>880710</v>
      </c>
      <c r="O43" s="50">
        <v>880710</v>
      </c>
    </row>
    <row r="44" spans="1:16" x14ac:dyDescent="0.25">
      <c r="A44" s="2" t="s">
        <v>63</v>
      </c>
      <c r="B44" s="2" t="s">
        <v>64</v>
      </c>
      <c r="C44" s="50">
        <v>12016817.16</v>
      </c>
      <c r="D44" s="50">
        <v>11396646</v>
      </c>
      <c r="E44" s="50">
        <v>-5.44</v>
      </c>
      <c r="F44" s="50">
        <v>105.44</v>
      </c>
      <c r="G44" s="50">
        <v>-620171.16</v>
      </c>
      <c r="J44" s="50">
        <v>528770.14</v>
      </c>
      <c r="L44" s="50">
        <v>172157.72</v>
      </c>
      <c r="M44" s="50">
        <v>184454.7</v>
      </c>
      <c r="N44" s="50">
        <v>184454.7</v>
      </c>
      <c r="O44" s="50">
        <v>159860.74</v>
      </c>
      <c r="P44" s="50">
        <v>10787119.16</v>
      </c>
    </row>
    <row r="45" spans="1:16" x14ac:dyDescent="0.25">
      <c r="A45" s="3" t="s">
        <v>65</v>
      </c>
      <c r="B45" s="3" t="s">
        <v>66</v>
      </c>
      <c r="C45" s="51">
        <v>46576460.770000003</v>
      </c>
      <c r="D45" s="51">
        <v>90947976.510000005</v>
      </c>
      <c r="E45" s="51">
        <v>48.79</v>
      </c>
      <c r="F45" s="51">
        <v>51.21</v>
      </c>
      <c r="G45" s="51">
        <v>44371515.740000002</v>
      </c>
      <c r="I45" s="51">
        <v>1113425</v>
      </c>
      <c r="J45" s="51">
        <v>13897827.65</v>
      </c>
      <c r="K45" s="51"/>
      <c r="L45" s="51">
        <v>5118841.3499999996</v>
      </c>
      <c r="M45" s="51">
        <v>5421565</v>
      </c>
      <c r="N45" s="51">
        <v>5421565</v>
      </c>
      <c r="O45" s="51">
        <v>4816117.6100000003</v>
      </c>
      <c r="P45" s="51">
        <v>10787119.16</v>
      </c>
    </row>
    <row r="46" spans="1:16" x14ac:dyDescent="0.25">
      <c r="A46" s="2" t="s">
        <v>12</v>
      </c>
      <c r="B46" s="2" t="s">
        <v>12</v>
      </c>
    </row>
    <row r="47" spans="1:16" x14ac:dyDescent="0.25">
      <c r="A47" s="3" t="s">
        <v>67</v>
      </c>
      <c r="B47" s="3" t="s">
        <v>68</v>
      </c>
      <c r="C47" s="51"/>
      <c r="D47" s="51"/>
      <c r="E47" s="51"/>
      <c r="F47" s="51"/>
      <c r="G47" s="51"/>
      <c r="I47" s="51"/>
      <c r="J47" s="51"/>
      <c r="K47" s="51"/>
      <c r="L47" s="51"/>
      <c r="M47" s="51"/>
      <c r="N47" s="51"/>
      <c r="O47" s="51"/>
      <c r="P47" s="51"/>
    </row>
    <row r="48" spans="1:16" x14ac:dyDescent="0.25">
      <c r="A48" s="2" t="s">
        <v>69</v>
      </c>
      <c r="B48" s="2" t="s">
        <v>70</v>
      </c>
    </row>
    <row r="49" spans="1:16" x14ac:dyDescent="0.25">
      <c r="A49" s="2" t="s">
        <v>71</v>
      </c>
      <c r="B49" s="2" t="s">
        <v>72</v>
      </c>
      <c r="C49" s="50">
        <v>115226.65</v>
      </c>
      <c r="G49" s="50">
        <v>-115226.65</v>
      </c>
      <c r="J49" s="50">
        <v>69653.119999999995</v>
      </c>
      <c r="L49" s="50">
        <v>15153.4</v>
      </c>
      <c r="M49" s="50">
        <v>12939.53</v>
      </c>
      <c r="N49" s="50">
        <v>13045.4</v>
      </c>
      <c r="O49" s="50">
        <v>4435.2</v>
      </c>
    </row>
    <row r="50" spans="1:16" x14ac:dyDescent="0.25">
      <c r="A50" s="2" t="s">
        <v>73</v>
      </c>
      <c r="B50" s="2" t="s">
        <v>74</v>
      </c>
      <c r="D50" s="50">
        <v>301747</v>
      </c>
      <c r="E50" s="50">
        <v>100</v>
      </c>
      <c r="G50" s="50">
        <v>301747</v>
      </c>
    </row>
    <row r="51" spans="1:16" x14ac:dyDescent="0.25">
      <c r="A51" s="2" t="s">
        <v>75</v>
      </c>
      <c r="B51" s="2" t="s">
        <v>76</v>
      </c>
      <c r="C51" s="50">
        <v>151069.5</v>
      </c>
      <c r="G51" s="50">
        <v>-151069.5</v>
      </c>
      <c r="J51" s="50">
        <v>27187.5</v>
      </c>
      <c r="L51" s="50">
        <v>18000</v>
      </c>
      <c r="N51" s="50">
        <v>105882</v>
      </c>
    </row>
    <row r="52" spans="1:16" x14ac:dyDescent="0.25">
      <c r="A52" s="2" t="s">
        <v>77</v>
      </c>
      <c r="B52" s="2" t="s">
        <v>78</v>
      </c>
      <c r="C52" s="50">
        <v>4800</v>
      </c>
      <c r="D52" s="50">
        <v>26000</v>
      </c>
      <c r="E52" s="50">
        <v>81.540000000000006</v>
      </c>
      <c r="F52" s="50">
        <v>18.46</v>
      </c>
      <c r="G52" s="50">
        <v>21200</v>
      </c>
      <c r="N52" s="50">
        <v>4800</v>
      </c>
    </row>
    <row r="53" spans="1:16" x14ac:dyDescent="0.25">
      <c r="A53" s="2" t="s">
        <v>79</v>
      </c>
      <c r="B53" s="2" t="s">
        <v>80</v>
      </c>
      <c r="C53" s="50">
        <v>13500</v>
      </c>
      <c r="G53" s="50">
        <v>-13500</v>
      </c>
      <c r="O53" s="50">
        <v>13500</v>
      </c>
    </row>
    <row r="54" spans="1:16" x14ac:dyDescent="0.25">
      <c r="A54" s="2" t="s">
        <v>81</v>
      </c>
      <c r="B54" s="2" t="s">
        <v>82</v>
      </c>
      <c r="C54" s="50">
        <v>2966638.5</v>
      </c>
      <c r="D54" s="50">
        <v>3277907.67</v>
      </c>
      <c r="E54" s="50">
        <v>9.5</v>
      </c>
      <c r="F54" s="50">
        <v>90.5</v>
      </c>
      <c r="G54" s="50">
        <v>311269.17</v>
      </c>
      <c r="I54" s="50">
        <v>3198</v>
      </c>
      <c r="J54" s="50">
        <v>188173</v>
      </c>
      <c r="K54" s="50">
        <v>2767173.9</v>
      </c>
      <c r="L54" s="50">
        <v>5196.8</v>
      </c>
      <c r="N54" s="50">
        <v>2896.8</v>
      </c>
    </row>
    <row r="55" spans="1:16" x14ac:dyDescent="0.25">
      <c r="A55" s="2" t="s">
        <v>83</v>
      </c>
      <c r="B55" s="2" t="s">
        <v>84</v>
      </c>
      <c r="C55" s="50">
        <v>43400.3</v>
      </c>
      <c r="D55" s="50">
        <v>1520321</v>
      </c>
      <c r="E55" s="50">
        <v>97.15</v>
      </c>
      <c r="F55" s="50">
        <v>2.85</v>
      </c>
      <c r="G55" s="50">
        <v>1476920.7</v>
      </c>
      <c r="I55" s="50">
        <v>3600</v>
      </c>
      <c r="J55" s="50">
        <v>18375.55</v>
      </c>
      <c r="L55" s="50">
        <v>21429.75</v>
      </c>
      <c r="N55" s="50">
        <v>-545</v>
      </c>
      <c r="O55" s="50">
        <v>540</v>
      </c>
    </row>
    <row r="56" spans="1:16" x14ac:dyDescent="0.25">
      <c r="A56" s="2" t="s">
        <v>85</v>
      </c>
      <c r="B56" s="2" t="s">
        <v>86</v>
      </c>
      <c r="C56" s="50">
        <v>6600</v>
      </c>
      <c r="G56" s="50">
        <v>-6600</v>
      </c>
      <c r="I56" s="50">
        <v>6350</v>
      </c>
      <c r="N56" s="50">
        <v>250</v>
      </c>
    </row>
    <row r="57" spans="1:16" x14ac:dyDescent="0.25">
      <c r="A57" s="2" t="s">
        <v>87</v>
      </c>
      <c r="B57" s="2" t="s">
        <v>88</v>
      </c>
      <c r="C57" s="50">
        <v>9254.1</v>
      </c>
      <c r="D57" s="50">
        <v>513320</v>
      </c>
      <c r="E57" s="50">
        <v>98.2</v>
      </c>
      <c r="F57" s="50">
        <v>1.8</v>
      </c>
      <c r="G57" s="50">
        <v>504065.9</v>
      </c>
      <c r="J57" s="50">
        <v>4454.1000000000004</v>
      </c>
      <c r="N57" s="50">
        <v>4800</v>
      </c>
    </row>
    <row r="58" spans="1:16" x14ac:dyDescent="0.25">
      <c r="A58" s="3" t="s">
        <v>89</v>
      </c>
      <c r="B58" s="3" t="s">
        <v>17</v>
      </c>
      <c r="C58" s="51">
        <v>3310489.05</v>
      </c>
      <c r="D58" s="51">
        <v>5639295.6699999999</v>
      </c>
      <c r="E58" s="51">
        <v>41.3</v>
      </c>
      <c r="F58" s="51">
        <v>58.7</v>
      </c>
      <c r="G58" s="51">
        <v>2328806.62</v>
      </c>
      <c r="I58" s="51">
        <v>13148</v>
      </c>
      <c r="J58" s="51">
        <v>307843.27</v>
      </c>
      <c r="K58" s="51">
        <v>2767173.9</v>
      </c>
      <c r="L58" s="51">
        <v>59779.95</v>
      </c>
      <c r="M58" s="51">
        <v>12939.53</v>
      </c>
      <c r="N58" s="51">
        <v>131129.20000000001</v>
      </c>
      <c r="O58" s="51">
        <v>18475.2</v>
      </c>
      <c r="P58" s="51"/>
    </row>
    <row r="59" spans="1:16" x14ac:dyDescent="0.25">
      <c r="A59" s="2" t="s">
        <v>12</v>
      </c>
      <c r="B59" s="2" t="s">
        <v>12</v>
      </c>
    </row>
    <row r="60" spans="1:16" x14ac:dyDescent="0.25">
      <c r="A60" s="3" t="s">
        <v>90</v>
      </c>
      <c r="B60" s="3" t="s">
        <v>91</v>
      </c>
      <c r="C60" s="51"/>
      <c r="D60" s="51"/>
      <c r="E60" s="51"/>
      <c r="F60" s="51"/>
      <c r="G60" s="51"/>
      <c r="I60" s="51"/>
      <c r="J60" s="51"/>
      <c r="K60" s="51"/>
      <c r="L60" s="51"/>
      <c r="M60" s="51"/>
      <c r="N60" s="51"/>
      <c r="O60" s="51"/>
      <c r="P60" s="51"/>
    </row>
    <row r="61" spans="1:16" x14ac:dyDescent="0.25">
      <c r="A61" s="2" t="s">
        <v>92</v>
      </c>
      <c r="B61" s="2" t="s">
        <v>93</v>
      </c>
      <c r="C61" s="50">
        <v>362884.2</v>
      </c>
      <c r="G61" s="50">
        <v>-362884.2</v>
      </c>
      <c r="I61" s="50">
        <v>4644.5</v>
      </c>
      <c r="J61" s="50">
        <v>234696</v>
      </c>
      <c r="M61" s="50">
        <v>22758.05</v>
      </c>
      <c r="N61" s="50">
        <v>25544.75</v>
      </c>
      <c r="O61" s="50">
        <v>75240.899999999994</v>
      </c>
    </row>
    <row r="62" spans="1:16" x14ac:dyDescent="0.25">
      <c r="A62" s="3" t="s">
        <v>94</v>
      </c>
      <c r="B62" s="3" t="s">
        <v>95</v>
      </c>
      <c r="C62" s="51">
        <v>362884.2</v>
      </c>
      <c r="D62" s="51"/>
      <c r="E62" s="51"/>
      <c r="F62" s="51"/>
      <c r="G62" s="51">
        <v>-362884.2</v>
      </c>
      <c r="I62" s="51">
        <v>4644.5</v>
      </c>
      <c r="J62" s="51">
        <v>234696</v>
      </c>
      <c r="K62" s="51"/>
      <c r="L62" s="51"/>
      <c r="M62" s="51">
        <v>22758.05</v>
      </c>
      <c r="N62" s="51">
        <v>25544.75</v>
      </c>
      <c r="O62" s="51">
        <v>75240.899999999994</v>
      </c>
      <c r="P62" s="51"/>
    </row>
    <row r="63" spans="1:16" x14ac:dyDescent="0.25">
      <c r="A63" s="2" t="s">
        <v>12</v>
      </c>
      <c r="B63" s="2" t="s">
        <v>12</v>
      </c>
    </row>
    <row r="64" spans="1:16" x14ac:dyDescent="0.25">
      <c r="A64" s="3" t="s">
        <v>96</v>
      </c>
      <c r="B64" s="3" t="s">
        <v>97</v>
      </c>
      <c r="C64" s="51">
        <v>50249834.020000003</v>
      </c>
      <c r="D64" s="51">
        <v>96587272.180000007</v>
      </c>
      <c r="E64" s="51">
        <v>47.97</v>
      </c>
      <c r="F64" s="51">
        <v>52.03</v>
      </c>
      <c r="G64" s="51">
        <v>46337438.159999996</v>
      </c>
      <c r="I64" s="51">
        <v>1131217.5</v>
      </c>
      <c r="J64" s="51">
        <v>14440366.92</v>
      </c>
      <c r="K64" s="51">
        <v>2767173.9</v>
      </c>
      <c r="L64" s="51">
        <v>5178621.3</v>
      </c>
      <c r="M64" s="51">
        <v>5457262.5800000001</v>
      </c>
      <c r="N64" s="51">
        <v>5578238.9500000002</v>
      </c>
      <c r="O64" s="51">
        <v>4909833.71</v>
      </c>
      <c r="P64" s="51">
        <v>10787119.16</v>
      </c>
    </row>
    <row r="65" spans="1:16" x14ac:dyDescent="0.25">
      <c r="A65" s="2" t="s">
        <v>12</v>
      </c>
      <c r="B65" s="2" t="s">
        <v>12</v>
      </c>
    </row>
    <row r="66" spans="1:16" x14ac:dyDescent="0.25">
      <c r="A66" s="3" t="s">
        <v>98</v>
      </c>
      <c r="B66" s="3" t="s">
        <v>99</v>
      </c>
      <c r="C66" s="51"/>
      <c r="D66" s="51"/>
      <c r="E66" s="51"/>
      <c r="F66" s="51"/>
      <c r="G66" s="51"/>
      <c r="I66" s="51"/>
      <c r="J66" s="51"/>
      <c r="K66" s="51"/>
      <c r="L66" s="51"/>
      <c r="M66" s="51"/>
      <c r="N66" s="51"/>
      <c r="O66" s="51"/>
      <c r="P66" s="51"/>
    </row>
    <row r="67" spans="1:16" x14ac:dyDescent="0.25">
      <c r="A67" s="2" t="s">
        <v>100</v>
      </c>
      <c r="B67" s="2" t="s">
        <v>101</v>
      </c>
    </row>
    <row r="68" spans="1:16" x14ac:dyDescent="0.25">
      <c r="A68" s="2" t="s">
        <v>102</v>
      </c>
      <c r="B68" s="2" t="s">
        <v>103</v>
      </c>
    </row>
    <row r="69" spans="1:16" x14ac:dyDescent="0.25">
      <c r="A69" s="3" t="s">
        <v>104</v>
      </c>
      <c r="B69" s="3" t="s">
        <v>105</v>
      </c>
      <c r="C69" s="51"/>
      <c r="D69" s="51"/>
      <c r="E69" s="51"/>
      <c r="F69" s="51"/>
      <c r="G69" s="51"/>
      <c r="I69" s="51"/>
      <c r="J69" s="51"/>
      <c r="K69" s="51"/>
      <c r="L69" s="51"/>
      <c r="M69" s="51"/>
      <c r="N69" s="51"/>
      <c r="O69" s="51"/>
      <c r="P69" s="51"/>
    </row>
    <row r="70" spans="1:16" x14ac:dyDescent="0.25">
      <c r="A70" s="2" t="s">
        <v>12</v>
      </c>
      <c r="B70" s="2" t="s">
        <v>12</v>
      </c>
    </row>
    <row r="71" spans="1:16" x14ac:dyDescent="0.25">
      <c r="A71" s="3" t="s">
        <v>106</v>
      </c>
      <c r="B71" s="3" t="s">
        <v>107</v>
      </c>
      <c r="C71" s="51"/>
      <c r="D71" s="51"/>
      <c r="E71" s="51"/>
      <c r="F71" s="51"/>
      <c r="G71" s="51"/>
      <c r="I71" s="51"/>
      <c r="J71" s="51"/>
      <c r="K71" s="51"/>
      <c r="L71" s="51"/>
      <c r="M71" s="51"/>
      <c r="N71" s="51"/>
      <c r="O71" s="51"/>
      <c r="P71" s="51"/>
    </row>
    <row r="72" spans="1:16" x14ac:dyDescent="0.25">
      <c r="A72" s="2" t="s">
        <v>108</v>
      </c>
      <c r="B72" s="2" t="s">
        <v>109</v>
      </c>
      <c r="C72" s="50">
        <v>-67991</v>
      </c>
      <c r="D72" s="50">
        <v>-518200</v>
      </c>
      <c r="E72" s="50">
        <v>86.88</v>
      </c>
      <c r="F72" s="50">
        <v>13.12</v>
      </c>
      <c r="G72" s="50">
        <v>-450209</v>
      </c>
      <c r="M72" s="50">
        <v>-67991</v>
      </c>
    </row>
    <row r="73" spans="1:16" x14ac:dyDescent="0.25">
      <c r="A73" s="2" t="s">
        <v>110</v>
      </c>
      <c r="B73" s="2" t="s">
        <v>111</v>
      </c>
      <c r="C73" s="50">
        <v>-22937.919999999998</v>
      </c>
      <c r="G73" s="50">
        <v>22937.919999999998</v>
      </c>
      <c r="J73" s="50">
        <v>-10796.67</v>
      </c>
      <c r="M73" s="50">
        <v>-12141.25</v>
      </c>
    </row>
    <row r="74" spans="1:16" x14ac:dyDescent="0.25">
      <c r="A74" s="2" t="s">
        <v>112</v>
      </c>
      <c r="B74" s="2" t="s">
        <v>113</v>
      </c>
      <c r="C74" s="50">
        <v>-32724</v>
      </c>
      <c r="D74" s="50">
        <v>-37660</v>
      </c>
      <c r="E74" s="50">
        <v>13.11</v>
      </c>
      <c r="F74" s="50">
        <v>86.89</v>
      </c>
      <c r="G74" s="50">
        <v>-4936</v>
      </c>
      <c r="M74" s="50">
        <v>-9713</v>
      </c>
      <c r="N74" s="50">
        <v>-4181</v>
      </c>
      <c r="O74" s="50">
        <v>-18830</v>
      </c>
    </row>
    <row r="75" spans="1:16" x14ac:dyDescent="0.25">
      <c r="A75" s="2" t="s">
        <v>114</v>
      </c>
      <c r="B75" s="2" t="s">
        <v>115</v>
      </c>
      <c r="C75" s="50">
        <v>-335577.22</v>
      </c>
      <c r="D75" s="50">
        <v>-495746</v>
      </c>
      <c r="E75" s="50">
        <v>32.31</v>
      </c>
      <c r="F75" s="50">
        <v>67.69</v>
      </c>
      <c r="G75" s="50">
        <v>-160168.78</v>
      </c>
      <c r="I75" s="50">
        <v>-11383.84</v>
      </c>
      <c r="J75" s="50">
        <v>-2748.2</v>
      </c>
      <c r="K75" s="50">
        <v>-5496.4</v>
      </c>
      <c r="L75" s="50">
        <v>-168399.45</v>
      </c>
      <c r="M75" s="50">
        <v>-708</v>
      </c>
      <c r="N75" s="50">
        <v>-84746.33</v>
      </c>
      <c r="O75" s="50">
        <v>-62095</v>
      </c>
    </row>
    <row r="76" spans="1:16" x14ac:dyDescent="0.25">
      <c r="A76" s="3" t="s">
        <v>116</v>
      </c>
      <c r="B76" s="3" t="s">
        <v>117</v>
      </c>
      <c r="C76" s="51">
        <v>-459230.14</v>
      </c>
      <c r="D76" s="51">
        <v>-1051606</v>
      </c>
      <c r="E76" s="51">
        <v>56.33</v>
      </c>
      <c r="F76" s="51">
        <v>43.67</v>
      </c>
      <c r="G76" s="51">
        <v>-592375.86</v>
      </c>
      <c r="I76" s="51">
        <v>-11383.84</v>
      </c>
      <c r="J76" s="51">
        <v>-13544.87</v>
      </c>
      <c r="K76" s="51">
        <v>-5496.4</v>
      </c>
      <c r="L76" s="51">
        <v>-168399.45</v>
      </c>
      <c r="M76" s="51">
        <v>-90553.25</v>
      </c>
      <c r="N76" s="51">
        <v>-88927.33</v>
      </c>
      <c r="O76" s="51">
        <v>-80925</v>
      </c>
      <c r="P76" s="51"/>
    </row>
    <row r="77" spans="1:16" x14ac:dyDescent="0.25">
      <c r="A77" s="2" t="s">
        <v>12</v>
      </c>
      <c r="B77" s="2" t="s">
        <v>12</v>
      </c>
    </row>
    <row r="78" spans="1:16" x14ac:dyDescent="0.25">
      <c r="A78" s="3" t="s">
        <v>118</v>
      </c>
      <c r="B78" s="3" t="s">
        <v>119</v>
      </c>
      <c r="C78" s="51"/>
      <c r="D78" s="51"/>
      <c r="E78" s="51"/>
      <c r="F78" s="51"/>
      <c r="G78" s="51"/>
      <c r="I78" s="51"/>
      <c r="J78" s="51"/>
      <c r="K78" s="51"/>
      <c r="L78" s="51"/>
      <c r="M78" s="51"/>
      <c r="N78" s="51"/>
      <c r="O78" s="51"/>
      <c r="P78" s="51"/>
    </row>
    <row r="79" spans="1:16" x14ac:dyDescent="0.25">
      <c r="A79" s="2" t="s">
        <v>120</v>
      </c>
      <c r="B79" s="2" t="s">
        <v>121</v>
      </c>
    </row>
    <row r="80" spans="1:16" x14ac:dyDescent="0.25">
      <c r="A80" s="2" t="s">
        <v>122</v>
      </c>
      <c r="B80" s="2" t="s">
        <v>123</v>
      </c>
    </row>
    <row r="81" spans="1:16" x14ac:dyDescent="0.25">
      <c r="A81" s="3" t="s">
        <v>124</v>
      </c>
      <c r="B81" s="3" t="s">
        <v>125</v>
      </c>
      <c r="C81" s="51"/>
      <c r="D81" s="51"/>
      <c r="E81" s="51"/>
      <c r="F81" s="51"/>
      <c r="G81" s="51"/>
      <c r="I81" s="51"/>
      <c r="J81" s="51"/>
      <c r="K81" s="51"/>
      <c r="L81" s="51"/>
      <c r="M81" s="51"/>
      <c r="N81" s="51"/>
      <c r="O81" s="51"/>
      <c r="P81" s="51"/>
    </row>
    <row r="82" spans="1:16" x14ac:dyDescent="0.25">
      <c r="A82" s="2" t="s">
        <v>12</v>
      </c>
      <c r="B82" s="2" t="s">
        <v>12</v>
      </c>
    </row>
    <row r="83" spans="1:16" x14ac:dyDescent="0.25">
      <c r="A83" s="3" t="s">
        <v>126</v>
      </c>
      <c r="B83" s="3" t="s">
        <v>30</v>
      </c>
      <c r="C83" s="51"/>
      <c r="D83" s="51"/>
      <c r="E83" s="51"/>
      <c r="F83" s="51"/>
      <c r="G83" s="51"/>
      <c r="I83" s="51"/>
      <c r="J83" s="51"/>
      <c r="K83" s="51"/>
      <c r="L83" s="51"/>
      <c r="M83" s="51"/>
      <c r="N83" s="51"/>
      <c r="O83" s="51"/>
      <c r="P83" s="51"/>
    </row>
    <row r="84" spans="1:16" x14ac:dyDescent="0.25">
      <c r="A84" s="2" t="s">
        <v>127</v>
      </c>
      <c r="B84" s="2" t="s">
        <v>128</v>
      </c>
    </row>
    <row r="85" spans="1:16" x14ac:dyDescent="0.25">
      <c r="A85" s="2" t="s">
        <v>129</v>
      </c>
      <c r="B85" s="2" t="s">
        <v>130</v>
      </c>
      <c r="C85" s="50">
        <v>-447361.2</v>
      </c>
      <c r="D85" s="50">
        <v>-1042434.9</v>
      </c>
      <c r="E85" s="50">
        <v>57.08</v>
      </c>
      <c r="F85" s="50">
        <v>42.92</v>
      </c>
      <c r="G85" s="50">
        <v>-595073.69999999995</v>
      </c>
      <c r="I85" s="50">
        <v>-447361.2</v>
      </c>
    </row>
    <row r="86" spans="1:16" x14ac:dyDescent="0.25">
      <c r="A86" s="2" t="s">
        <v>131</v>
      </c>
      <c r="B86" s="2" t="s">
        <v>132</v>
      </c>
    </row>
    <row r="87" spans="1:16" x14ac:dyDescent="0.25">
      <c r="A87" s="2" t="s">
        <v>133</v>
      </c>
      <c r="B87" s="2" t="s">
        <v>134</v>
      </c>
      <c r="C87" s="50">
        <v>-25043.32</v>
      </c>
      <c r="G87" s="50">
        <v>25043.32</v>
      </c>
      <c r="J87" s="50">
        <v>-14970.03</v>
      </c>
      <c r="M87" s="50">
        <v>-1748.84</v>
      </c>
      <c r="N87" s="50">
        <v>-6575.62</v>
      </c>
      <c r="O87" s="50">
        <v>-1748.83</v>
      </c>
    </row>
    <row r="88" spans="1:16" x14ac:dyDescent="0.25">
      <c r="A88" s="2" t="s">
        <v>135</v>
      </c>
      <c r="B88" s="2" t="s">
        <v>136</v>
      </c>
      <c r="C88" s="50">
        <v>25043.32</v>
      </c>
      <c r="G88" s="50">
        <v>-25043.32</v>
      </c>
      <c r="J88" s="50">
        <v>14970.03</v>
      </c>
      <c r="M88" s="50">
        <v>1748.84</v>
      </c>
      <c r="N88" s="50">
        <v>6575.62</v>
      </c>
      <c r="O88" s="50">
        <v>1748.83</v>
      </c>
    </row>
    <row r="89" spans="1:16" x14ac:dyDescent="0.25">
      <c r="A89" s="2" t="s">
        <v>137</v>
      </c>
      <c r="B89" s="2" t="s">
        <v>138</v>
      </c>
      <c r="C89" s="50">
        <v>-32752461.84</v>
      </c>
      <c r="D89" s="50">
        <v>-58924213.310000002</v>
      </c>
      <c r="E89" s="50">
        <v>44.42</v>
      </c>
      <c r="F89" s="50">
        <v>55.58</v>
      </c>
      <c r="G89" s="50">
        <v>-26171751.469999999</v>
      </c>
      <c r="I89" s="50">
        <v>-3426171.89</v>
      </c>
      <c r="J89" s="50">
        <v>-11029895.99</v>
      </c>
      <c r="K89" s="50">
        <v>-772488.94</v>
      </c>
      <c r="L89" s="50">
        <v>-3655756.36</v>
      </c>
      <c r="M89" s="50">
        <v>-3406703.37</v>
      </c>
      <c r="N89" s="50">
        <v>-5246377.38</v>
      </c>
      <c r="O89" s="50">
        <v>-5215067.91</v>
      </c>
    </row>
    <row r="90" spans="1:16" x14ac:dyDescent="0.25">
      <c r="A90" s="2" t="s">
        <v>139</v>
      </c>
      <c r="B90" s="2" t="s">
        <v>140</v>
      </c>
    </row>
    <row r="91" spans="1:16" x14ac:dyDescent="0.25">
      <c r="A91" s="2" t="s">
        <v>141</v>
      </c>
      <c r="B91" s="2" t="s">
        <v>142</v>
      </c>
    </row>
    <row r="92" spans="1:16" x14ac:dyDescent="0.25">
      <c r="A92" s="2" t="s">
        <v>143</v>
      </c>
      <c r="B92" s="2" t="s">
        <v>144</v>
      </c>
    </row>
    <row r="93" spans="1:16" x14ac:dyDescent="0.25">
      <c r="A93" s="2" t="s">
        <v>145</v>
      </c>
      <c r="B93" s="2" t="s">
        <v>146</v>
      </c>
      <c r="C93" s="50">
        <v>448.84</v>
      </c>
      <c r="G93" s="50">
        <v>-448.84</v>
      </c>
      <c r="L93" s="50">
        <v>-1712.36</v>
      </c>
      <c r="M93" s="50">
        <v>2161.1999999999998</v>
      </c>
    </row>
    <row r="94" spans="1:16" x14ac:dyDescent="0.25">
      <c r="A94" s="2" t="s">
        <v>147</v>
      </c>
      <c r="B94" s="2" t="s">
        <v>148</v>
      </c>
      <c r="C94" s="50">
        <v>-154694.1</v>
      </c>
      <c r="G94" s="50">
        <v>154694.1</v>
      </c>
      <c r="J94" s="50">
        <v>-116939.12</v>
      </c>
      <c r="L94" s="50">
        <v>-15153.51</v>
      </c>
      <c r="M94" s="50">
        <v>-12969.53</v>
      </c>
      <c r="N94" s="50">
        <v>-2676.79</v>
      </c>
      <c r="O94" s="50">
        <v>-6955.15</v>
      </c>
    </row>
    <row r="95" spans="1:16" x14ac:dyDescent="0.25">
      <c r="A95" s="2" t="s">
        <v>149</v>
      </c>
      <c r="B95" s="2" t="s">
        <v>150</v>
      </c>
    </row>
    <row r="96" spans="1:16" x14ac:dyDescent="0.25">
      <c r="A96" s="2" t="s">
        <v>151</v>
      </c>
      <c r="B96" s="2" t="s">
        <v>152</v>
      </c>
    </row>
    <row r="97" spans="1:16" x14ac:dyDescent="0.25">
      <c r="A97" s="2" t="s">
        <v>153</v>
      </c>
      <c r="B97" s="2" t="s">
        <v>154</v>
      </c>
    </row>
    <row r="98" spans="1:16" x14ac:dyDescent="0.25">
      <c r="A98" s="2" t="s">
        <v>155</v>
      </c>
      <c r="B98" s="2" t="s">
        <v>156</v>
      </c>
    </row>
    <row r="99" spans="1:16" x14ac:dyDescent="0.25">
      <c r="A99" s="2" t="s">
        <v>157</v>
      </c>
      <c r="B99" s="2" t="s">
        <v>158</v>
      </c>
    </row>
    <row r="100" spans="1:16" x14ac:dyDescent="0.25">
      <c r="A100" s="2" t="s">
        <v>159</v>
      </c>
      <c r="B100" s="2" t="s">
        <v>160</v>
      </c>
    </row>
    <row r="101" spans="1:16" x14ac:dyDescent="0.25">
      <c r="A101" s="2" t="s">
        <v>161</v>
      </c>
      <c r="B101" s="2" t="s">
        <v>162</v>
      </c>
    </row>
    <row r="102" spans="1:16" x14ac:dyDescent="0.25">
      <c r="A102" s="2" t="s">
        <v>163</v>
      </c>
      <c r="B102" s="2" t="s">
        <v>164</v>
      </c>
      <c r="C102" s="50">
        <v>-71400</v>
      </c>
      <c r="D102" s="50">
        <v>-26873.33</v>
      </c>
      <c r="E102" s="50">
        <v>-165.69</v>
      </c>
      <c r="F102" s="50">
        <v>265.69</v>
      </c>
      <c r="G102" s="50">
        <v>44526.67</v>
      </c>
      <c r="I102" s="50">
        <v>-71400</v>
      </c>
    </row>
    <row r="103" spans="1:16" x14ac:dyDescent="0.25">
      <c r="A103" s="2" t="s">
        <v>165</v>
      </c>
      <c r="B103" s="2" t="s">
        <v>166</v>
      </c>
    </row>
    <row r="104" spans="1:16" x14ac:dyDescent="0.25">
      <c r="A104" s="2" t="s">
        <v>167</v>
      </c>
      <c r="B104" s="2" t="s">
        <v>168</v>
      </c>
    </row>
    <row r="105" spans="1:16" x14ac:dyDescent="0.25">
      <c r="A105" s="2" t="s">
        <v>169</v>
      </c>
      <c r="B105" s="2" t="s">
        <v>170</v>
      </c>
      <c r="C105" s="50">
        <v>802300.14</v>
      </c>
      <c r="G105" s="50">
        <v>-802300.14</v>
      </c>
      <c r="I105" s="50">
        <v>60131.56</v>
      </c>
      <c r="M105" s="50">
        <v>173353.96</v>
      </c>
      <c r="N105" s="50">
        <v>271353.73</v>
      </c>
      <c r="O105" s="50">
        <v>297460.89</v>
      </c>
    </row>
    <row r="106" spans="1:16" x14ac:dyDescent="0.25">
      <c r="A106" s="3" t="s">
        <v>171</v>
      </c>
      <c r="B106" s="3" t="s">
        <v>172</v>
      </c>
      <c r="C106" s="51">
        <v>-32623168.16</v>
      </c>
      <c r="D106" s="51">
        <v>-59993521.539999999</v>
      </c>
      <c r="E106" s="51">
        <v>45.62</v>
      </c>
      <c r="F106" s="51">
        <v>54.38</v>
      </c>
      <c r="G106" s="51">
        <v>-27370353.379999999</v>
      </c>
      <c r="I106" s="51">
        <v>-3884801.53</v>
      </c>
      <c r="J106" s="51">
        <v>-11146835.109999999</v>
      </c>
      <c r="K106" s="51">
        <v>-772488.94</v>
      </c>
      <c r="L106" s="51">
        <v>-3672622.23</v>
      </c>
      <c r="M106" s="51">
        <v>-3244157.74</v>
      </c>
      <c r="N106" s="51">
        <v>-4977700.4400000004</v>
      </c>
      <c r="O106" s="51">
        <v>-4924562.17</v>
      </c>
      <c r="P106" s="51"/>
    </row>
    <row r="107" spans="1:16" x14ac:dyDescent="0.25">
      <c r="A107" s="2" t="s">
        <v>12</v>
      </c>
      <c r="B107" s="2" t="s">
        <v>12</v>
      </c>
    </row>
    <row r="108" spans="1:16" x14ac:dyDescent="0.25">
      <c r="A108" s="3" t="s">
        <v>173</v>
      </c>
      <c r="B108" s="3" t="s">
        <v>174</v>
      </c>
      <c r="C108" s="51"/>
      <c r="D108" s="51"/>
      <c r="E108" s="51"/>
      <c r="F108" s="51"/>
      <c r="G108" s="51"/>
      <c r="I108" s="51"/>
      <c r="J108" s="51"/>
      <c r="K108" s="51"/>
      <c r="L108" s="51"/>
      <c r="M108" s="51"/>
      <c r="N108" s="51"/>
      <c r="O108" s="51"/>
      <c r="P108" s="51"/>
    </row>
    <row r="109" spans="1:16" x14ac:dyDescent="0.25">
      <c r="A109" s="2" t="s">
        <v>175</v>
      </c>
      <c r="B109" s="2" t="s">
        <v>174</v>
      </c>
      <c r="C109" s="50">
        <v>-5419886.8300000001</v>
      </c>
      <c r="D109" s="50">
        <v>-11851711.15</v>
      </c>
      <c r="E109" s="50">
        <v>54.27</v>
      </c>
      <c r="F109" s="50">
        <v>45.73</v>
      </c>
      <c r="G109" s="50">
        <v>-6431824.3200000003</v>
      </c>
      <c r="I109" s="50">
        <v>-539601.98</v>
      </c>
      <c r="J109" s="50">
        <v>-1858390.38</v>
      </c>
      <c r="K109" s="50">
        <v>-137073.81</v>
      </c>
      <c r="L109" s="50">
        <v>-618620.27</v>
      </c>
      <c r="M109" s="50">
        <v>-569619.12</v>
      </c>
      <c r="N109" s="50">
        <v>-860373.52</v>
      </c>
      <c r="O109" s="50">
        <v>-836207.75</v>
      </c>
    </row>
    <row r="110" spans="1:16" x14ac:dyDescent="0.25">
      <c r="A110" s="2" t="s">
        <v>176</v>
      </c>
      <c r="B110" s="2" t="s">
        <v>177</v>
      </c>
    </row>
    <row r="111" spans="1:16" x14ac:dyDescent="0.25">
      <c r="A111" s="3" t="s">
        <v>178</v>
      </c>
      <c r="B111" s="3" t="s">
        <v>179</v>
      </c>
      <c r="C111" s="51">
        <v>-5419886.8300000001</v>
      </c>
      <c r="D111" s="51">
        <v>-11851711.15</v>
      </c>
      <c r="E111" s="51">
        <v>54.27</v>
      </c>
      <c r="F111" s="51">
        <v>45.73</v>
      </c>
      <c r="G111" s="51">
        <v>-6431824.3200000003</v>
      </c>
      <c r="I111" s="51">
        <v>-539601.98</v>
      </c>
      <c r="J111" s="51">
        <v>-1858390.38</v>
      </c>
      <c r="K111" s="51">
        <v>-137073.81</v>
      </c>
      <c r="L111" s="51">
        <v>-618620.27</v>
      </c>
      <c r="M111" s="51">
        <v>-569619.12</v>
      </c>
      <c r="N111" s="51">
        <v>-860373.52</v>
      </c>
      <c r="O111" s="51">
        <v>-836207.75</v>
      </c>
      <c r="P111" s="51"/>
    </row>
    <row r="112" spans="1:16" x14ac:dyDescent="0.25">
      <c r="A112" s="2" t="s">
        <v>12</v>
      </c>
      <c r="B112" s="2" t="s">
        <v>12</v>
      </c>
    </row>
    <row r="113" spans="1:16" x14ac:dyDescent="0.25">
      <c r="A113" s="3" t="s">
        <v>180</v>
      </c>
      <c r="B113" s="3" t="s">
        <v>181</v>
      </c>
      <c r="C113" s="51"/>
      <c r="D113" s="51"/>
      <c r="E113" s="51"/>
      <c r="F113" s="51"/>
      <c r="G113" s="51"/>
      <c r="I113" s="51"/>
      <c r="J113" s="51"/>
      <c r="K113" s="51"/>
      <c r="L113" s="51"/>
      <c r="M113" s="51"/>
      <c r="N113" s="51"/>
      <c r="O113" s="51"/>
      <c r="P113" s="51"/>
    </row>
    <row r="114" spans="1:16" x14ac:dyDescent="0.25">
      <c r="A114" s="2" t="s">
        <v>182</v>
      </c>
      <c r="B114" s="2" t="s">
        <v>183</v>
      </c>
      <c r="C114" s="50">
        <v>3633580.92</v>
      </c>
      <c r="D114" s="50">
        <v>5075121</v>
      </c>
      <c r="E114" s="50">
        <v>28.4</v>
      </c>
      <c r="F114" s="50">
        <v>71.599999999999994</v>
      </c>
      <c r="G114" s="50">
        <v>1441540.08</v>
      </c>
      <c r="I114" s="50">
        <v>1396580.41</v>
      </c>
      <c r="J114" s="50">
        <v>1241967.8</v>
      </c>
      <c r="L114" s="50">
        <v>453040.84</v>
      </c>
      <c r="M114" s="50">
        <v>91785.13</v>
      </c>
      <c r="N114" s="50">
        <v>150736.16</v>
      </c>
      <c r="O114" s="50">
        <v>299470.58</v>
      </c>
    </row>
    <row r="115" spans="1:16" x14ac:dyDescent="0.25">
      <c r="A115" s="2" t="s">
        <v>184</v>
      </c>
      <c r="B115" s="2" t="s">
        <v>185</v>
      </c>
      <c r="C115" s="50">
        <v>1000952.81</v>
      </c>
      <c r="G115" s="50">
        <v>-1000952.81</v>
      </c>
      <c r="I115" s="50">
        <v>277906</v>
      </c>
      <c r="J115" s="50">
        <v>227770</v>
      </c>
      <c r="L115" s="50">
        <v>52438</v>
      </c>
      <c r="M115" s="50">
        <v>153686</v>
      </c>
      <c r="N115" s="50">
        <v>59872</v>
      </c>
      <c r="O115" s="50">
        <v>229280.81</v>
      </c>
    </row>
    <row r="116" spans="1:16" x14ac:dyDescent="0.25">
      <c r="A116" s="2" t="s">
        <v>186</v>
      </c>
      <c r="B116" s="2" t="s">
        <v>187</v>
      </c>
    </row>
    <row r="117" spans="1:16" x14ac:dyDescent="0.25">
      <c r="A117" s="2" t="s">
        <v>188</v>
      </c>
      <c r="B117" s="2" t="s">
        <v>189</v>
      </c>
      <c r="C117" s="50">
        <v>130088.37</v>
      </c>
      <c r="G117" s="50">
        <v>-130088.37</v>
      </c>
      <c r="I117" s="50">
        <v>5705.86</v>
      </c>
      <c r="J117" s="50">
        <v>26946.71</v>
      </c>
      <c r="O117" s="50">
        <v>97435.8</v>
      </c>
    </row>
    <row r="118" spans="1:16" x14ac:dyDescent="0.25">
      <c r="A118" s="2" t="s">
        <v>190</v>
      </c>
      <c r="B118" s="2" t="s">
        <v>191</v>
      </c>
    </row>
    <row r="119" spans="1:16" x14ac:dyDescent="0.25">
      <c r="A119" s="2" t="s">
        <v>192</v>
      </c>
      <c r="B119" s="2" t="s">
        <v>193</v>
      </c>
      <c r="C119" s="50">
        <v>93154.92</v>
      </c>
      <c r="G119" s="50">
        <v>-93154.92</v>
      </c>
      <c r="I119" s="50">
        <v>93154.92</v>
      </c>
    </row>
    <row r="120" spans="1:16" x14ac:dyDescent="0.25">
      <c r="A120" s="2" t="s">
        <v>194</v>
      </c>
      <c r="B120" s="2" t="s">
        <v>195</v>
      </c>
      <c r="C120" s="50">
        <v>121482.11</v>
      </c>
      <c r="G120" s="50">
        <v>-121482.11</v>
      </c>
      <c r="J120" s="50">
        <v>121482.11</v>
      </c>
    </row>
    <row r="121" spans="1:16" x14ac:dyDescent="0.25">
      <c r="A121" s="3" t="s">
        <v>196</v>
      </c>
      <c r="B121" s="3" t="s">
        <v>197</v>
      </c>
      <c r="C121" s="51">
        <v>4979259.13</v>
      </c>
      <c r="D121" s="51">
        <v>5075121</v>
      </c>
      <c r="E121" s="51">
        <v>1.89</v>
      </c>
      <c r="F121" s="51">
        <v>98.11</v>
      </c>
      <c r="G121" s="51">
        <v>95861.87</v>
      </c>
      <c r="I121" s="51">
        <v>1773347.19</v>
      </c>
      <c r="J121" s="51">
        <v>1618166.62</v>
      </c>
      <c r="K121" s="51"/>
      <c r="L121" s="51">
        <v>505478.84</v>
      </c>
      <c r="M121" s="51">
        <v>245471.13</v>
      </c>
      <c r="N121" s="51">
        <v>210608.16</v>
      </c>
      <c r="O121" s="51">
        <v>626187.18999999994</v>
      </c>
      <c r="P121" s="51"/>
    </row>
    <row r="122" spans="1:16" x14ac:dyDescent="0.25">
      <c r="A122" s="3" t="s">
        <v>198</v>
      </c>
      <c r="B122" s="3" t="s">
        <v>199</v>
      </c>
      <c r="C122" s="51">
        <v>-33063795.859999999</v>
      </c>
      <c r="D122" s="51">
        <v>-66770111.689999998</v>
      </c>
      <c r="E122" s="51">
        <v>50.48</v>
      </c>
      <c r="F122" s="51">
        <v>49.52</v>
      </c>
      <c r="G122" s="51">
        <v>-33706315.829999998</v>
      </c>
      <c r="I122" s="51">
        <v>-2651056.3199999998</v>
      </c>
      <c r="J122" s="51">
        <v>-11387058.869999999</v>
      </c>
      <c r="K122" s="51">
        <v>-909562.75</v>
      </c>
      <c r="L122" s="51">
        <v>-3785763.66</v>
      </c>
      <c r="M122" s="51">
        <v>-3568305.73</v>
      </c>
      <c r="N122" s="51">
        <v>-5627465.7999999998</v>
      </c>
      <c r="O122" s="51">
        <v>-5134582.7300000004</v>
      </c>
      <c r="P122" s="51"/>
    </row>
    <row r="123" spans="1:16" x14ac:dyDescent="0.25">
      <c r="A123" s="2" t="s">
        <v>12</v>
      </c>
      <c r="B123" s="2" t="s">
        <v>12</v>
      </c>
    </row>
    <row r="124" spans="1:16" x14ac:dyDescent="0.25">
      <c r="A124" s="3" t="s">
        <v>200</v>
      </c>
      <c r="B124" s="3" t="s">
        <v>201</v>
      </c>
      <c r="C124" s="51">
        <v>-33523026</v>
      </c>
      <c r="D124" s="51">
        <v>-67821717.689999998</v>
      </c>
      <c r="E124" s="51">
        <v>50.57</v>
      </c>
      <c r="F124" s="51">
        <v>49.43</v>
      </c>
      <c r="G124" s="51">
        <v>-34298691.689999998</v>
      </c>
      <c r="I124" s="51">
        <v>-2662440.16</v>
      </c>
      <c r="J124" s="51">
        <v>-11400603.74</v>
      </c>
      <c r="K124" s="51">
        <v>-915059.15</v>
      </c>
      <c r="L124" s="51">
        <v>-3954163.11</v>
      </c>
      <c r="M124" s="51">
        <v>-3658858.98</v>
      </c>
      <c r="N124" s="51">
        <v>-5716393.1299999999</v>
      </c>
      <c r="O124" s="51">
        <v>-5215507.7300000004</v>
      </c>
      <c r="P124" s="51"/>
    </row>
    <row r="125" spans="1:16" x14ac:dyDescent="0.25">
      <c r="A125" s="2" t="s">
        <v>12</v>
      </c>
      <c r="B125" s="2" t="s">
        <v>12</v>
      </c>
    </row>
    <row r="126" spans="1:16" x14ac:dyDescent="0.25">
      <c r="A126" s="3" t="s">
        <v>202</v>
      </c>
      <c r="B126" s="3" t="s">
        <v>203</v>
      </c>
      <c r="C126" s="51">
        <v>16726808.02</v>
      </c>
      <c r="D126" s="51">
        <v>28765554.489999998</v>
      </c>
      <c r="E126" s="51">
        <v>41.85</v>
      </c>
      <c r="F126" s="51">
        <v>58.15</v>
      </c>
      <c r="G126" s="51">
        <v>12038746.470000001</v>
      </c>
      <c r="I126" s="51">
        <v>-1531222.66</v>
      </c>
      <c r="J126" s="51">
        <v>3039763.18</v>
      </c>
      <c r="K126" s="51">
        <v>1852114.75</v>
      </c>
      <c r="L126" s="51">
        <v>1224458.19</v>
      </c>
      <c r="M126" s="51">
        <v>1798403.6</v>
      </c>
      <c r="N126" s="51">
        <v>-138154.18</v>
      </c>
      <c r="O126" s="51">
        <v>-305674.02</v>
      </c>
      <c r="P126" s="51">
        <v>10787119.16</v>
      </c>
    </row>
    <row r="127" spans="1:16" x14ac:dyDescent="0.25">
      <c r="A127" s="2" t="s">
        <v>12</v>
      </c>
      <c r="B127" s="2" t="s">
        <v>12</v>
      </c>
    </row>
    <row r="128" spans="1:16" x14ac:dyDescent="0.25">
      <c r="A128" s="3" t="s">
        <v>204</v>
      </c>
      <c r="B128" s="3" t="s">
        <v>205</v>
      </c>
      <c r="C128" s="51"/>
      <c r="D128" s="51"/>
      <c r="E128" s="51"/>
      <c r="F128" s="51"/>
      <c r="G128" s="51"/>
      <c r="I128" s="51"/>
      <c r="J128" s="51"/>
      <c r="K128" s="51"/>
      <c r="L128" s="51"/>
      <c r="M128" s="51"/>
      <c r="N128" s="51"/>
      <c r="O128" s="51"/>
      <c r="P128" s="51"/>
    </row>
    <row r="129" spans="1:16" x14ac:dyDescent="0.25">
      <c r="A129" s="2" t="s">
        <v>206</v>
      </c>
      <c r="B129" s="2" t="s">
        <v>207</v>
      </c>
      <c r="C129" s="50">
        <v>67544.899999999994</v>
      </c>
      <c r="D129" s="50">
        <v>580143.63</v>
      </c>
      <c r="E129" s="50">
        <v>88.36</v>
      </c>
      <c r="F129" s="50">
        <v>11.64</v>
      </c>
      <c r="G129" s="50">
        <v>512598.73</v>
      </c>
      <c r="I129" s="50">
        <v>13644.9</v>
      </c>
      <c r="J129" s="50">
        <v>24640</v>
      </c>
      <c r="L129" s="50">
        <v>3850</v>
      </c>
      <c r="M129" s="50">
        <v>4235</v>
      </c>
      <c r="N129" s="50">
        <v>10395</v>
      </c>
      <c r="O129" s="50">
        <v>10780</v>
      </c>
    </row>
    <row r="130" spans="1:16" x14ac:dyDescent="0.25">
      <c r="A130" s="2" t="s">
        <v>208</v>
      </c>
      <c r="B130" s="2" t="s">
        <v>209</v>
      </c>
      <c r="C130" s="50">
        <v>1103518.27</v>
      </c>
      <c r="D130" s="50">
        <v>83204.73</v>
      </c>
      <c r="E130" s="50">
        <v>-1226.27</v>
      </c>
      <c r="F130" s="50">
        <v>1326.27</v>
      </c>
      <c r="G130" s="50">
        <v>-1020313.54</v>
      </c>
      <c r="I130" s="50">
        <v>1066848.6200000001</v>
      </c>
      <c r="J130" s="50">
        <v>20501.36</v>
      </c>
      <c r="M130" s="50">
        <v>6748.84</v>
      </c>
      <c r="N130" s="50">
        <v>6575.62</v>
      </c>
      <c r="O130" s="50">
        <v>2843.83</v>
      </c>
    </row>
    <row r="131" spans="1:16" x14ac:dyDescent="0.25">
      <c r="A131" s="2" t="s">
        <v>210</v>
      </c>
      <c r="B131" s="2" t="s">
        <v>211</v>
      </c>
      <c r="D131" s="50">
        <v>150000</v>
      </c>
      <c r="E131" s="50">
        <v>100</v>
      </c>
      <c r="G131" s="50">
        <v>150000</v>
      </c>
    </row>
    <row r="132" spans="1:16" x14ac:dyDescent="0.25">
      <c r="A132" s="2" t="s">
        <v>212</v>
      </c>
      <c r="B132" s="2" t="s">
        <v>213</v>
      </c>
    </row>
    <row r="133" spans="1:16" x14ac:dyDescent="0.25">
      <c r="A133" s="2" t="s">
        <v>214</v>
      </c>
      <c r="B133" s="2" t="s">
        <v>215</v>
      </c>
    </row>
    <row r="134" spans="1:16" x14ac:dyDescent="0.25">
      <c r="A134" s="2" t="s">
        <v>216</v>
      </c>
      <c r="B134" s="2" t="s">
        <v>217</v>
      </c>
      <c r="C134" s="50">
        <v>15000</v>
      </c>
      <c r="G134" s="50">
        <v>-15000</v>
      </c>
      <c r="N134" s="50">
        <v>15000</v>
      </c>
    </row>
    <row r="135" spans="1:16" x14ac:dyDescent="0.25">
      <c r="A135" s="3" t="s">
        <v>218</v>
      </c>
      <c r="B135" s="3" t="s">
        <v>219</v>
      </c>
      <c r="C135" s="51">
        <v>1186063.17</v>
      </c>
      <c r="D135" s="51">
        <v>813348.36</v>
      </c>
      <c r="E135" s="51">
        <v>-45.82</v>
      </c>
      <c r="F135" s="51">
        <v>145.82</v>
      </c>
      <c r="G135" s="51">
        <v>-372714.81</v>
      </c>
      <c r="I135" s="51">
        <v>1080493.52</v>
      </c>
      <c r="J135" s="51">
        <v>45141.36</v>
      </c>
      <c r="K135" s="51"/>
      <c r="L135" s="51">
        <v>3850</v>
      </c>
      <c r="M135" s="51">
        <v>10983.84</v>
      </c>
      <c r="N135" s="51">
        <v>31970.62</v>
      </c>
      <c r="O135" s="51">
        <v>13623.83</v>
      </c>
      <c r="P135" s="51"/>
    </row>
    <row r="136" spans="1:16" x14ac:dyDescent="0.25">
      <c r="A136" s="2" t="s">
        <v>12</v>
      </c>
      <c r="B136" s="2" t="s">
        <v>12</v>
      </c>
    </row>
    <row r="137" spans="1:16" x14ac:dyDescent="0.25">
      <c r="A137" s="3" t="s">
        <v>220</v>
      </c>
      <c r="B137" s="3" t="s">
        <v>221</v>
      </c>
      <c r="C137" s="51"/>
      <c r="D137" s="51"/>
      <c r="E137" s="51"/>
      <c r="F137" s="51"/>
      <c r="G137" s="51"/>
      <c r="I137" s="51"/>
      <c r="J137" s="51"/>
      <c r="K137" s="51"/>
      <c r="L137" s="51"/>
      <c r="M137" s="51"/>
      <c r="N137" s="51"/>
      <c r="O137" s="51"/>
      <c r="P137" s="51"/>
    </row>
    <row r="138" spans="1:16" x14ac:dyDescent="0.25">
      <c r="A138" s="2" t="s">
        <v>222</v>
      </c>
      <c r="B138" s="2" t="s">
        <v>223</v>
      </c>
      <c r="D138" s="50">
        <v>-4000000</v>
      </c>
      <c r="E138" s="50">
        <v>100</v>
      </c>
      <c r="G138" s="50">
        <v>-4000000</v>
      </c>
    </row>
    <row r="139" spans="1:16" x14ac:dyDescent="0.25">
      <c r="A139" s="2" t="s">
        <v>224</v>
      </c>
      <c r="B139" s="2" t="s">
        <v>225</v>
      </c>
    </row>
    <row r="140" spans="1:16" x14ac:dyDescent="0.25">
      <c r="A140" s="2" t="s">
        <v>226</v>
      </c>
      <c r="B140" s="2" t="s">
        <v>227</v>
      </c>
      <c r="C140" s="50">
        <v>-2035138.09</v>
      </c>
      <c r="D140" s="50">
        <v>-3926274.64</v>
      </c>
      <c r="E140" s="50">
        <v>48.17</v>
      </c>
      <c r="F140" s="50">
        <v>51.83</v>
      </c>
      <c r="G140" s="50">
        <v>-1891136.55</v>
      </c>
      <c r="J140" s="50">
        <v>-1560127.08</v>
      </c>
      <c r="L140" s="50">
        <v>-507948.34</v>
      </c>
      <c r="M140" s="50">
        <v>-544230.37</v>
      </c>
      <c r="N140" s="50">
        <v>-544230.37</v>
      </c>
      <c r="O140" s="50">
        <v>-471666.32</v>
      </c>
    </row>
    <row r="141" spans="1:16" x14ac:dyDescent="0.25">
      <c r="A141" s="2" t="s">
        <v>228</v>
      </c>
      <c r="B141" s="2" t="s">
        <v>229</v>
      </c>
      <c r="C141" s="50">
        <v>2035138.09</v>
      </c>
      <c r="D141" s="50">
        <v>3926274.64</v>
      </c>
      <c r="E141" s="50">
        <v>48.17</v>
      </c>
      <c r="F141" s="50">
        <v>51.83</v>
      </c>
      <c r="G141" s="50">
        <v>1891136.55</v>
      </c>
      <c r="I141" s="50">
        <v>3628202.48</v>
      </c>
    </row>
    <row r="142" spans="1:16" x14ac:dyDescent="0.25">
      <c r="A142" s="2" t="s">
        <v>230</v>
      </c>
      <c r="B142" s="2" t="s">
        <v>231</v>
      </c>
      <c r="C142" s="50">
        <v>-4140.8</v>
      </c>
      <c r="D142" s="50">
        <v>-7000</v>
      </c>
      <c r="E142" s="50">
        <v>40.85</v>
      </c>
      <c r="F142" s="50">
        <v>59.15</v>
      </c>
      <c r="G142" s="50">
        <v>-2859.2</v>
      </c>
      <c r="I142" s="50">
        <v>-880</v>
      </c>
      <c r="K142" s="50">
        <v>-1180.8</v>
      </c>
      <c r="O142" s="50">
        <v>-2080</v>
      </c>
    </row>
    <row r="143" spans="1:16" x14ac:dyDescent="0.25">
      <c r="A143" s="2" t="s">
        <v>232</v>
      </c>
      <c r="B143" s="2" t="s">
        <v>233</v>
      </c>
      <c r="C143" s="50">
        <v>-29987.16</v>
      </c>
      <c r="D143" s="50">
        <v>-274000</v>
      </c>
      <c r="E143" s="50">
        <v>89.06</v>
      </c>
      <c r="F143" s="50">
        <v>10.94</v>
      </c>
      <c r="G143" s="50">
        <v>-244012.84</v>
      </c>
      <c r="I143" s="50">
        <v>-15801.75</v>
      </c>
      <c r="J143" s="50">
        <v>-2471.7399999999998</v>
      </c>
      <c r="K143" s="50">
        <v>-563.55999999999995</v>
      </c>
      <c r="L143" s="50">
        <v>-5357.13</v>
      </c>
      <c r="M143" s="50">
        <v>-3309.48</v>
      </c>
      <c r="N143" s="50">
        <v>-381.68</v>
      </c>
      <c r="O143" s="50">
        <v>-2101.8200000000002</v>
      </c>
    </row>
    <row r="144" spans="1:16" x14ac:dyDescent="0.25">
      <c r="A144" s="2" t="s">
        <v>234</v>
      </c>
      <c r="B144" s="2" t="s">
        <v>235</v>
      </c>
      <c r="D144" s="50">
        <v>-25000</v>
      </c>
      <c r="E144" s="50">
        <v>100</v>
      </c>
      <c r="G144" s="50">
        <v>-25000</v>
      </c>
    </row>
    <row r="145" spans="1:15" x14ac:dyDescent="0.25">
      <c r="A145" s="2" t="s">
        <v>236</v>
      </c>
      <c r="B145" s="2" t="s">
        <v>237</v>
      </c>
      <c r="C145" s="50">
        <v>-5782.94</v>
      </c>
      <c r="D145" s="50">
        <v>-35000</v>
      </c>
      <c r="E145" s="50">
        <v>83.48</v>
      </c>
      <c r="F145" s="50">
        <v>16.52</v>
      </c>
      <c r="G145" s="50">
        <v>-29217.06</v>
      </c>
      <c r="I145" s="50">
        <v>-287.2</v>
      </c>
      <c r="J145" s="50">
        <v>-96.54</v>
      </c>
      <c r="K145" s="50">
        <v>-5012</v>
      </c>
      <c r="L145" s="50">
        <v>-228</v>
      </c>
      <c r="O145" s="50">
        <v>-159.19999999999999</v>
      </c>
    </row>
    <row r="146" spans="1:15" x14ac:dyDescent="0.25">
      <c r="A146" s="2" t="s">
        <v>238</v>
      </c>
      <c r="B146" s="2" t="s">
        <v>239</v>
      </c>
      <c r="C146" s="50">
        <v>-28318.55</v>
      </c>
      <c r="D146" s="50">
        <v>-63506.63</v>
      </c>
      <c r="E146" s="50">
        <v>55.41</v>
      </c>
      <c r="F146" s="50">
        <v>44.59</v>
      </c>
      <c r="G146" s="50">
        <v>-35188.080000000002</v>
      </c>
      <c r="I146" s="50">
        <v>-19923.72</v>
      </c>
      <c r="J146" s="50">
        <v>-1764.75</v>
      </c>
      <c r="K146" s="50">
        <v>-505.6</v>
      </c>
      <c r="M146" s="50">
        <v>-5768.48</v>
      </c>
      <c r="N146" s="50">
        <v>-356</v>
      </c>
    </row>
    <row r="147" spans="1:15" x14ac:dyDescent="0.25">
      <c r="A147" s="2" t="s">
        <v>240</v>
      </c>
      <c r="B147" s="2" t="s">
        <v>241</v>
      </c>
      <c r="C147" s="50">
        <v>-236820.31</v>
      </c>
      <c r="G147" s="50">
        <v>236820.31</v>
      </c>
      <c r="J147" s="50">
        <v>-114797.93</v>
      </c>
      <c r="L147" s="50">
        <v>-15683.19</v>
      </c>
      <c r="M147" s="50">
        <v>-3477.4</v>
      </c>
      <c r="N147" s="50">
        <v>-64361.79</v>
      </c>
      <c r="O147" s="50">
        <v>-38500</v>
      </c>
    </row>
    <row r="148" spans="1:15" x14ac:dyDescent="0.25">
      <c r="A148" s="2" t="s">
        <v>242</v>
      </c>
      <c r="B148" s="2" t="s">
        <v>243</v>
      </c>
      <c r="C148" s="50">
        <v>-45160.07</v>
      </c>
      <c r="D148" s="50">
        <v>-192660</v>
      </c>
      <c r="E148" s="50">
        <v>76.56</v>
      </c>
      <c r="F148" s="50">
        <v>23.44</v>
      </c>
      <c r="G148" s="50">
        <v>-147499.93</v>
      </c>
      <c r="J148" s="50">
        <v>-27504.65</v>
      </c>
      <c r="L148" s="50">
        <v>-384.2</v>
      </c>
      <c r="M148" s="50">
        <v>-600</v>
      </c>
      <c r="N148" s="50">
        <v>-665.08</v>
      </c>
      <c r="O148" s="50">
        <v>-16006.14</v>
      </c>
    </row>
    <row r="149" spans="1:15" x14ac:dyDescent="0.25">
      <c r="A149" s="2" t="s">
        <v>244</v>
      </c>
      <c r="B149" s="2" t="s">
        <v>245</v>
      </c>
      <c r="C149" s="50">
        <v>-69039.679999999993</v>
      </c>
      <c r="D149" s="50">
        <v>-156400</v>
      </c>
      <c r="E149" s="50">
        <v>55.86</v>
      </c>
      <c r="F149" s="50">
        <v>44.14</v>
      </c>
      <c r="G149" s="50">
        <v>-87360.320000000007</v>
      </c>
      <c r="J149" s="50">
        <v>-20713.55</v>
      </c>
      <c r="L149" s="50">
        <v>-4718.33</v>
      </c>
      <c r="M149" s="50">
        <v>-4915.7</v>
      </c>
      <c r="N149" s="50">
        <v>-5306.5</v>
      </c>
      <c r="O149" s="50">
        <v>-33385.599999999999</v>
      </c>
    </row>
    <row r="150" spans="1:15" x14ac:dyDescent="0.25">
      <c r="A150" s="2" t="s">
        <v>246</v>
      </c>
      <c r="B150" s="2" t="s">
        <v>247</v>
      </c>
      <c r="C150" s="50">
        <v>-449754.97</v>
      </c>
      <c r="D150" s="50">
        <v>-4814375</v>
      </c>
      <c r="E150" s="50">
        <v>90.66</v>
      </c>
      <c r="F150" s="50">
        <v>9.34</v>
      </c>
      <c r="G150" s="50">
        <v>-4364620.03</v>
      </c>
      <c r="I150" s="50">
        <v>-7315</v>
      </c>
      <c r="J150" s="50">
        <v>-40534.699999999997</v>
      </c>
      <c r="K150" s="50">
        <v>-3398.24</v>
      </c>
      <c r="L150" s="50">
        <v>-105203.85</v>
      </c>
      <c r="M150" s="50">
        <v>-2833.33</v>
      </c>
      <c r="N150" s="50">
        <v>-2391.4499999999998</v>
      </c>
      <c r="O150" s="50">
        <v>-288078.40000000002</v>
      </c>
    </row>
    <row r="151" spans="1:15" x14ac:dyDescent="0.25">
      <c r="A151" s="2" t="s">
        <v>248</v>
      </c>
      <c r="B151" s="2" t="s">
        <v>249</v>
      </c>
      <c r="C151" s="50">
        <v>-109287.71</v>
      </c>
      <c r="D151" s="50">
        <v>-390000</v>
      </c>
      <c r="E151" s="50">
        <v>71.98</v>
      </c>
      <c r="F151" s="50">
        <v>28.02</v>
      </c>
      <c r="G151" s="50">
        <v>-280712.28999999998</v>
      </c>
      <c r="J151" s="50">
        <v>-56598.15</v>
      </c>
      <c r="K151" s="50">
        <v>-5692</v>
      </c>
      <c r="L151" s="50">
        <v>-8070.21</v>
      </c>
      <c r="M151" s="50">
        <v>-2710.49</v>
      </c>
      <c r="N151" s="50">
        <v>-4194.8100000000004</v>
      </c>
      <c r="O151" s="50">
        <v>-32022.05</v>
      </c>
    </row>
    <row r="152" spans="1:15" x14ac:dyDescent="0.25">
      <c r="A152" s="2" t="s">
        <v>250</v>
      </c>
      <c r="B152" s="2" t="s">
        <v>251</v>
      </c>
    </row>
    <row r="153" spans="1:15" x14ac:dyDescent="0.25">
      <c r="A153" s="2" t="s">
        <v>252</v>
      </c>
      <c r="B153" s="2" t="s">
        <v>253</v>
      </c>
      <c r="C153" s="50">
        <v>-100431.72</v>
      </c>
      <c r="D153" s="50">
        <v>-70000</v>
      </c>
      <c r="E153" s="50">
        <v>-43.47</v>
      </c>
      <c r="F153" s="50">
        <v>143.47</v>
      </c>
      <c r="G153" s="50">
        <v>30431.72</v>
      </c>
      <c r="J153" s="50">
        <v>-10488.3</v>
      </c>
      <c r="L153" s="50">
        <v>-17374.5</v>
      </c>
      <c r="M153" s="50">
        <v>-267.3</v>
      </c>
      <c r="N153" s="50">
        <v>-410.4</v>
      </c>
      <c r="O153" s="50">
        <v>-71891.22</v>
      </c>
    </row>
    <row r="154" spans="1:15" x14ac:dyDescent="0.25">
      <c r="A154" s="2" t="s">
        <v>254</v>
      </c>
      <c r="B154" s="2" t="s">
        <v>255</v>
      </c>
      <c r="C154" s="50">
        <v>-111985.19</v>
      </c>
      <c r="D154" s="50">
        <v>-213155.18</v>
      </c>
      <c r="E154" s="50">
        <v>47.46</v>
      </c>
      <c r="F154" s="50">
        <v>52.54</v>
      </c>
      <c r="G154" s="50">
        <v>-101169.99</v>
      </c>
      <c r="J154" s="50">
        <v>-31540</v>
      </c>
      <c r="L154" s="50">
        <v>-9880</v>
      </c>
      <c r="M154" s="50">
        <v>-13340</v>
      </c>
      <c r="N154" s="50">
        <v>-32775.19</v>
      </c>
      <c r="O154" s="50">
        <v>-24450</v>
      </c>
    </row>
    <row r="155" spans="1:15" x14ac:dyDescent="0.25">
      <c r="A155" s="2" t="s">
        <v>256</v>
      </c>
      <c r="B155" s="2" t="s">
        <v>257</v>
      </c>
      <c r="D155" s="50">
        <v>-72666.66</v>
      </c>
      <c r="E155" s="50">
        <v>100</v>
      </c>
      <c r="G155" s="50">
        <v>-72666.66</v>
      </c>
    </row>
    <row r="156" spans="1:15" x14ac:dyDescent="0.25">
      <c r="A156" s="2" t="s">
        <v>258</v>
      </c>
      <c r="B156" s="2" t="s">
        <v>259</v>
      </c>
      <c r="C156" s="50">
        <v>-193393.85</v>
      </c>
      <c r="D156" s="50">
        <v>-49323.4</v>
      </c>
      <c r="E156" s="50">
        <v>-292.08999999999997</v>
      </c>
      <c r="F156" s="50">
        <v>392.09</v>
      </c>
      <c r="G156" s="50">
        <v>144070.45000000001</v>
      </c>
      <c r="I156" s="50">
        <v>-193393.85</v>
      </c>
    </row>
    <row r="157" spans="1:15" x14ac:dyDescent="0.25">
      <c r="A157" s="2" t="s">
        <v>260</v>
      </c>
      <c r="B157" s="2" t="s">
        <v>261</v>
      </c>
      <c r="D157" s="50">
        <v>-866371</v>
      </c>
      <c r="E157" s="50">
        <v>100</v>
      </c>
      <c r="G157" s="50">
        <v>-866371</v>
      </c>
    </row>
    <row r="158" spans="1:15" x14ac:dyDescent="0.25">
      <c r="A158" s="2" t="s">
        <v>262</v>
      </c>
      <c r="B158" s="2" t="s">
        <v>263</v>
      </c>
      <c r="C158" s="50">
        <v>-48932.63</v>
      </c>
      <c r="D158" s="50">
        <v>-1280000</v>
      </c>
      <c r="E158" s="50">
        <v>96.18</v>
      </c>
      <c r="F158" s="50">
        <v>3.82</v>
      </c>
      <c r="G158" s="50">
        <v>-1231067.3700000001</v>
      </c>
      <c r="I158" s="50">
        <v>-12222.02</v>
      </c>
      <c r="J158" s="50">
        <v>-10476.549999999999</v>
      </c>
      <c r="K158" s="50">
        <v>-358.7</v>
      </c>
      <c r="M158" s="50">
        <v>-2592</v>
      </c>
      <c r="N158" s="50">
        <v>-21490.6</v>
      </c>
      <c r="O158" s="50">
        <v>-1792.76</v>
      </c>
    </row>
    <row r="159" spans="1:15" x14ac:dyDescent="0.25">
      <c r="A159" s="2" t="s">
        <v>264</v>
      </c>
      <c r="B159" s="2" t="s">
        <v>265</v>
      </c>
    </row>
    <row r="160" spans="1:15" x14ac:dyDescent="0.25">
      <c r="A160" s="2" t="s">
        <v>266</v>
      </c>
      <c r="B160" s="2" t="s">
        <v>267</v>
      </c>
    </row>
    <row r="161" spans="1:15" x14ac:dyDescent="0.25">
      <c r="A161" s="2" t="s">
        <v>268</v>
      </c>
      <c r="B161" s="2" t="s">
        <v>269</v>
      </c>
      <c r="C161" s="50">
        <v>-702399.28</v>
      </c>
      <c r="D161" s="50">
        <v>-1508000</v>
      </c>
      <c r="E161" s="50">
        <v>53.42</v>
      </c>
      <c r="F161" s="50">
        <v>46.58</v>
      </c>
      <c r="G161" s="50">
        <v>-805600.72</v>
      </c>
      <c r="J161" s="50">
        <v>-126316.63</v>
      </c>
      <c r="K161" s="50">
        <v>-319835.71999999997</v>
      </c>
      <c r="L161" s="50">
        <v>-58953.79</v>
      </c>
      <c r="M161" s="50">
        <v>-40665.339999999997</v>
      </c>
      <c r="N161" s="50">
        <v>-27596.46</v>
      </c>
      <c r="O161" s="50">
        <v>-129031.34</v>
      </c>
    </row>
    <row r="162" spans="1:15" x14ac:dyDescent="0.25">
      <c r="A162" s="2" t="s">
        <v>270</v>
      </c>
      <c r="B162" s="2" t="s">
        <v>271</v>
      </c>
      <c r="C162" s="50">
        <v>-354702.35</v>
      </c>
      <c r="D162" s="50">
        <v>-793000</v>
      </c>
      <c r="E162" s="50">
        <v>55.27</v>
      </c>
      <c r="F162" s="50">
        <v>44.73</v>
      </c>
      <c r="G162" s="50">
        <v>-438297.65</v>
      </c>
      <c r="J162" s="50">
        <v>-203819.96</v>
      </c>
      <c r="K162" s="50">
        <v>-4841.38</v>
      </c>
      <c r="L162" s="50">
        <v>-22639.41</v>
      </c>
      <c r="M162" s="50">
        <v>-22378.400000000001</v>
      </c>
      <c r="N162" s="50">
        <v>-42737.919999999998</v>
      </c>
      <c r="O162" s="50">
        <v>-58285.279999999999</v>
      </c>
    </row>
    <row r="163" spans="1:15" x14ac:dyDescent="0.25">
      <c r="A163" s="2" t="s">
        <v>272</v>
      </c>
      <c r="B163" s="2" t="s">
        <v>273</v>
      </c>
      <c r="C163" s="50">
        <v>-237134.32</v>
      </c>
      <c r="D163" s="50">
        <v>-324642</v>
      </c>
      <c r="E163" s="50">
        <v>26.96</v>
      </c>
      <c r="F163" s="50">
        <v>73.040000000000006</v>
      </c>
      <c r="G163" s="50">
        <v>-87507.68</v>
      </c>
      <c r="J163" s="50">
        <v>-54298.68</v>
      </c>
      <c r="K163" s="50">
        <v>-141326.01</v>
      </c>
      <c r="L163" s="50">
        <v>-20895.95</v>
      </c>
      <c r="M163" s="50">
        <v>-2916.13</v>
      </c>
      <c r="N163" s="50">
        <v>-17271.93</v>
      </c>
      <c r="O163" s="50">
        <v>-425.62</v>
      </c>
    </row>
    <row r="164" spans="1:15" x14ac:dyDescent="0.25">
      <c r="A164" s="2" t="s">
        <v>274</v>
      </c>
      <c r="B164" s="2" t="s">
        <v>275</v>
      </c>
      <c r="C164" s="50">
        <v>-22626.59</v>
      </c>
      <c r="D164" s="50">
        <v>-78500</v>
      </c>
      <c r="E164" s="50">
        <v>71.180000000000007</v>
      </c>
      <c r="F164" s="50">
        <v>28.82</v>
      </c>
      <c r="G164" s="50">
        <v>-55873.41</v>
      </c>
      <c r="J164" s="50">
        <v>-8578.06</v>
      </c>
      <c r="L164" s="50">
        <v>-576.38</v>
      </c>
      <c r="M164" s="50">
        <v>-6490.67</v>
      </c>
      <c r="N164" s="50">
        <v>-4377.71</v>
      </c>
      <c r="O164" s="50">
        <v>-2603.77</v>
      </c>
    </row>
    <row r="165" spans="1:15" x14ac:dyDescent="0.25">
      <c r="A165" s="2" t="s">
        <v>276</v>
      </c>
      <c r="B165" s="2" t="s">
        <v>277</v>
      </c>
      <c r="C165" s="50">
        <v>-12992.86</v>
      </c>
      <c r="D165" s="50">
        <v>-84000</v>
      </c>
      <c r="E165" s="50">
        <v>84.53</v>
      </c>
      <c r="F165" s="50">
        <v>15.47</v>
      </c>
      <c r="G165" s="50">
        <v>-71007.14</v>
      </c>
      <c r="J165" s="50">
        <v>-5523.19</v>
      </c>
      <c r="K165" s="50">
        <v>-407.85</v>
      </c>
      <c r="L165" s="50">
        <v>-551.53</v>
      </c>
      <c r="O165" s="50">
        <v>-6510.29</v>
      </c>
    </row>
    <row r="166" spans="1:15" x14ac:dyDescent="0.25">
      <c r="A166" s="2" t="s">
        <v>278</v>
      </c>
      <c r="B166" s="2" t="s">
        <v>279</v>
      </c>
      <c r="C166" s="50">
        <v>229516.88</v>
      </c>
      <c r="G166" s="50">
        <v>-229516.88</v>
      </c>
      <c r="K166" s="50">
        <v>229516.88</v>
      </c>
    </row>
    <row r="167" spans="1:15" x14ac:dyDescent="0.25">
      <c r="A167" s="2" t="s">
        <v>280</v>
      </c>
      <c r="B167" s="2" t="s">
        <v>281</v>
      </c>
      <c r="C167" s="50">
        <v>-275829.33</v>
      </c>
      <c r="D167" s="50">
        <v>-580000</v>
      </c>
      <c r="E167" s="50">
        <v>52.44</v>
      </c>
      <c r="F167" s="50">
        <v>47.56</v>
      </c>
      <c r="G167" s="50">
        <v>-304170.67</v>
      </c>
      <c r="I167" s="50">
        <v>-87562.17</v>
      </c>
      <c r="J167" s="50">
        <v>-60775.98</v>
      </c>
      <c r="L167" s="50">
        <v>-19645.669999999998</v>
      </c>
      <c r="M167" s="50">
        <v>-15886</v>
      </c>
      <c r="N167" s="50">
        <v>-74459.509999999995</v>
      </c>
      <c r="O167" s="50">
        <v>-17500</v>
      </c>
    </row>
    <row r="168" spans="1:15" x14ac:dyDescent="0.25">
      <c r="A168" s="2" t="s">
        <v>282</v>
      </c>
      <c r="B168" s="2" t="s">
        <v>283</v>
      </c>
      <c r="C168" s="50">
        <v>-944196.49</v>
      </c>
      <c r="D168" s="50">
        <v>-2200000</v>
      </c>
      <c r="E168" s="50">
        <v>57.08</v>
      </c>
      <c r="F168" s="50">
        <v>42.92</v>
      </c>
      <c r="G168" s="50">
        <v>-1255803.51</v>
      </c>
      <c r="I168" s="50">
        <v>-859734.9</v>
      </c>
      <c r="J168" s="50">
        <v>-43218.53</v>
      </c>
      <c r="L168" s="50">
        <v>-9202.92</v>
      </c>
      <c r="M168" s="50">
        <v>-21047.47</v>
      </c>
      <c r="N168" s="50">
        <v>-4919.1899999999996</v>
      </c>
      <c r="O168" s="50">
        <v>-6073.48</v>
      </c>
    </row>
    <row r="169" spans="1:15" x14ac:dyDescent="0.25">
      <c r="A169" s="2" t="s">
        <v>284</v>
      </c>
      <c r="B169" s="2" t="s">
        <v>285</v>
      </c>
      <c r="C169" s="50">
        <v>-109624.75</v>
      </c>
      <c r="D169" s="50">
        <v>-350000</v>
      </c>
      <c r="E169" s="50">
        <v>68.680000000000007</v>
      </c>
      <c r="F169" s="50">
        <v>31.32</v>
      </c>
      <c r="G169" s="50">
        <v>-240375.25</v>
      </c>
      <c r="I169" s="50">
        <v>-109624.75</v>
      </c>
    </row>
    <row r="170" spans="1:15" x14ac:dyDescent="0.25">
      <c r="A170" s="2" t="s">
        <v>286</v>
      </c>
      <c r="B170" s="2" t="s">
        <v>287</v>
      </c>
      <c r="C170" s="50">
        <v>-38500</v>
      </c>
      <c r="D170" s="50">
        <v>-50000</v>
      </c>
      <c r="E170" s="50">
        <v>23</v>
      </c>
      <c r="F170" s="50">
        <v>77</v>
      </c>
      <c r="G170" s="50">
        <v>-11500</v>
      </c>
      <c r="I170" s="50">
        <v>-38500</v>
      </c>
    </row>
    <row r="171" spans="1:15" x14ac:dyDescent="0.25">
      <c r="A171" s="2" t="s">
        <v>288</v>
      </c>
      <c r="B171" s="2" t="s">
        <v>289</v>
      </c>
      <c r="C171" s="50">
        <v>-231872.5</v>
      </c>
      <c r="D171" s="50">
        <v>-296956.57</v>
      </c>
      <c r="E171" s="50">
        <v>21.92</v>
      </c>
      <c r="F171" s="50">
        <v>78.08</v>
      </c>
      <c r="G171" s="50">
        <v>-65084.07</v>
      </c>
      <c r="I171" s="50">
        <v>-188417</v>
      </c>
      <c r="J171" s="50">
        <v>-23160</v>
      </c>
      <c r="K171" s="50">
        <v>-15900</v>
      </c>
      <c r="O171" s="50">
        <v>-4395.5</v>
      </c>
    </row>
    <row r="172" spans="1:15" x14ac:dyDescent="0.25">
      <c r="A172" s="2" t="s">
        <v>290</v>
      </c>
      <c r="B172" s="2" t="s">
        <v>291</v>
      </c>
      <c r="C172" s="50">
        <v>-6644.8</v>
      </c>
      <c r="D172" s="50">
        <v>-72000</v>
      </c>
      <c r="E172" s="50">
        <v>90.77</v>
      </c>
      <c r="F172" s="50">
        <v>9.23</v>
      </c>
      <c r="G172" s="50">
        <v>-65355.199999999997</v>
      </c>
      <c r="J172" s="50">
        <v>-2168</v>
      </c>
      <c r="L172" s="50">
        <v>-4476.8</v>
      </c>
    </row>
    <row r="173" spans="1:15" x14ac:dyDescent="0.25">
      <c r="A173" s="2" t="s">
        <v>292</v>
      </c>
      <c r="B173" s="2" t="s">
        <v>293</v>
      </c>
      <c r="C173" s="50">
        <v>-101017.71</v>
      </c>
      <c r="D173" s="50">
        <v>-270787.61</v>
      </c>
      <c r="E173" s="50">
        <v>62.69</v>
      </c>
      <c r="F173" s="50">
        <v>37.31</v>
      </c>
      <c r="G173" s="50">
        <v>-169769.9</v>
      </c>
      <c r="I173" s="50">
        <v>-20923.86</v>
      </c>
      <c r="J173" s="50">
        <v>-21328.62</v>
      </c>
      <c r="K173" s="50">
        <v>-2196.9699999999998</v>
      </c>
      <c r="L173" s="50">
        <v>-9378.86</v>
      </c>
      <c r="M173" s="50">
        <v>-10022.94</v>
      </c>
      <c r="N173" s="50">
        <v>-22784.799999999999</v>
      </c>
      <c r="O173" s="50">
        <v>-14381.66</v>
      </c>
    </row>
    <row r="174" spans="1:15" x14ac:dyDescent="0.25">
      <c r="A174" s="2" t="s">
        <v>294</v>
      </c>
      <c r="B174" s="2" t="s">
        <v>295</v>
      </c>
      <c r="C174" s="50">
        <v>-2147078.29</v>
      </c>
      <c r="D174" s="50">
        <v>-238558.88</v>
      </c>
      <c r="E174" s="50">
        <v>-800.02</v>
      </c>
      <c r="F174" s="50">
        <v>900.02</v>
      </c>
      <c r="G174" s="50">
        <v>1908519.41</v>
      </c>
      <c r="I174" s="50">
        <v>-1223402.74</v>
      </c>
      <c r="J174" s="50">
        <v>-529440.96</v>
      </c>
      <c r="K174" s="50">
        <v>-8700</v>
      </c>
      <c r="L174" s="50">
        <v>-201878.79</v>
      </c>
      <c r="M174" s="50">
        <v>-172655.8</v>
      </c>
      <c r="N174" s="50">
        <v>-11000</v>
      </c>
    </row>
    <row r="175" spans="1:15" x14ac:dyDescent="0.25">
      <c r="A175" s="2" t="s">
        <v>296</v>
      </c>
      <c r="B175" s="2" t="s">
        <v>297</v>
      </c>
      <c r="C175" s="50">
        <v>-21284.19</v>
      </c>
      <c r="D175" s="50">
        <v>-64200</v>
      </c>
      <c r="E175" s="50">
        <v>66.849999999999994</v>
      </c>
      <c r="F175" s="50">
        <v>33.15</v>
      </c>
      <c r="G175" s="50">
        <v>-42915.81</v>
      </c>
      <c r="I175" s="50">
        <v>-14822.72</v>
      </c>
      <c r="J175" s="50">
        <v>-2550.9299999999998</v>
      </c>
      <c r="K175" s="50">
        <v>-100</v>
      </c>
      <c r="L175" s="50">
        <v>-1022.35</v>
      </c>
      <c r="N175" s="50">
        <v>-378.75</v>
      </c>
      <c r="O175" s="50">
        <v>-2409.44</v>
      </c>
    </row>
    <row r="176" spans="1:15" x14ac:dyDescent="0.25">
      <c r="A176" s="2" t="s">
        <v>298</v>
      </c>
      <c r="B176" s="2" t="s">
        <v>299</v>
      </c>
      <c r="C176" s="50">
        <v>-510707.83</v>
      </c>
      <c r="D176" s="50">
        <v>-1222000</v>
      </c>
      <c r="E176" s="50">
        <v>58.21</v>
      </c>
      <c r="F176" s="50">
        <v>41.79</v>
      </c>
      <c r="G176" s="50">
        <v>-711292.17</v>
      </c>
      <c r="J176" s="50">
        <v>-254310.75</v>
      </c>
      <c r="K176" s="50">
        <v>-477.28</v>
      </c>
      <c r="L176" s="50">
        <v>-70381.399999999994</v>
      </c>
      <c r="M176" s="50">
        <v>-44968.45</v>
      </c>
      <c r="N176" s="50">
        <v>-92569.98</v>
      </c>
      <c r="O176" s="50">
        <v>-47999.97</v>
      </c>
    </row>
    <row r="177" spans="1:15" x14ac:dyDescent="0.25">
      <c r="A177" s="2" t="s">
        <v>300</v>
      </c>
      <c r="B177" s="2" t="s">
        <v>301</v>
      </c>
      <c r="C177" s="50">
        <v>-272512.19</v>
      </c>
      <c r="D177" s="50">
        <v>-96619</v>
      </c>
      <c r="E177" s="50">
        <v>-182.05</v>
      </c>
      <c r="F177" s="50">
        <v>282.05</v>
      </c>
      <c r="G177" s="50">
        <v>175893.19</v>
      </c>
      <c r="I177" s="50">
        <v>-234162.44</v>
      </c>
      <c r="J177" s="50">
        <v>-10157.959999999999</v>
      </c>
      <c r="K177" s="50">
        <v>-7000</v>
      </c>
      <c r="L177" s="50">
        <v>-12191.79</v>
      </c>
      <c r="N177" s="50">
        <v>-5706</v>
      </c>
      <c r="O177" s="50">
        <v>-3294</v>
      </c>
    </row>
    <row r="178" spans="1:15" x14ac:dyDescent="0.25">
      <c r="A178" s="2" t="s">
        <v>302</v>
      </c>
      <c r="B178" s="2" t="s">
        <v>303</v>
      </c>
      <c r="C178" s="50">
        <v>-21386.720000000001</v>
      </c>
      <c r="D178" s="50">
        <v>-68000</v>
      </c>
      <c r="E178" s="50">
        <v>68.55</v>
      </c>
      <c r="F178" s="50">
        <v>31.45</v>
      </c>
      <c r="G178" s="50">
        <v>-46613.279999999999</v>
      </c>
      <c r="I178" s="50">
        <v>-4956.78</v>
      </c>
      <c r="K178" s="50">
        <v>-551</v>
      </c>
      <c r="L178" s="50">
        <v>-1430</v>
      </c>
      <c r="M178" s="50">
        <v>-6084.94</v>
      </c>
      <c r="N178" s="50">
        <v>-1928</v>
      </c>
      <c r="O178" s="50">
        <v>-6436</v>
      </c>
    </row>
    <row r="179" spans="1:15" x14ac:dyDescent="0.25">
      <c r="A179" s="2" t="s">
        <v>304</v>
      </c>
      <c r="B179" s="2" t="s">
        <v>305</v>
      </c>
      <c r="D179" s="50">
        <v>-90000</v>
      </c>
      <c r="E179" s="50">
        <v>100</v>
      </c>
      <c r="G179" s="50">
        <v>-90000</v>
      </c>
    </row>
    <row r="180" spans="1:15" x14ac:dyDescent="0.25">
      <c r="A180" s="2" t="s">
        <v>306</v>
      </c>
      <c r="B180" s="2" t="s">
        <v>307</v>
      </c>
      <c r="C180" s="50">
        <v>-157927.48000000001</v>
      </c>
      <c r="D180" s="50">
        <v>-165000</v>
      </c>
      <c r="E180" s="50">
        <v>4.29</v>
      </c>
      <c r="F180" s="50">
        <v>95.71</v>
      </c>
      <c r="G180" s="50">
        <v>-7072.52</v>
      </c>
      <c r="J180" s="50">
        <v>-150272.9</v>
      </c>
      <c r="K180" s="50">
        <v>-2034</v>
      </c>
      <c r="L180" s="50">
        <v>-1664</v>
      </c>
      <c r="N180" s="50">
        <v>-3956.58</v>
      </c>
    </row>
    <row r="181" spans="1:15" x14ac:dyDescent="0.25">
      <c r="A181" s="2" t="s">
        <v>308</v>
      </c>
      <c r="B181" s="2" t="s">
        <v>309</v>
      </c>
      <c r="C181" s="50">
        <v>28225.93</v>
      </c>
      <c r="D181" s="50">
        <v>-960000</v>
      </c>
      <c r="E181" s="50">
        <v>102.94</v>
      </c>
      <c r="F181" s="50">
        <v>-2.94</v>
      </c>
      <c r="G181" s="50">
        <v>-988225.93</v>
      </c>
      <c r="I181" s="50">
        <v>-93885.75</v>
      </c>
      <c r="J181" s="50">
        <v>170263.85</v>
      </c>
      <c r="K181" s="50">
        <v>-6585.29</v>
      </c>
      <c r="L181" s="50">
        <v>-2728.7</v>
      </c>
      <c r="M181" s="50">
        <v>-400</v>
      </c>
      <c r="N181" s="50">
        <v>-23741.78</v>
      </c>
      <c r="O181" s="50">
        <v>-14696.4</v>
      </c>
    </row>
    <row r="182" spans="1:15" x14ac:dyDescent="0.25">
      <c r="A182" s="2" t="s">
        <v>310</v>
      </c>
      <c r="B182" s="2" t="s">
        <v>311</v>
      </c>
      <c r="C182" s="50">
        <v>-1902</v>
      </c>
      <c r="D182" s="50">
        <v>-5100</v>
      </c>
      <c r="E182" s="50">
        <v>62.71</v>
      </c>
      <c r="F182" s="50">
        <v>37.29</v>
      </c>
      <c r="G182" s="50">
        <v>-3198</v>
      </c>
      <c r="I182" s="50">
        <v>-1456</v>
      </c>
      <c r="L182" s="50">
        <v>-446</v>
      </c>
    </row>
    <row r="183" spans="1:15" x14ac:dyDescent="0.25">
      <c r="A183" s="2" t="s">
        <v>312</v>
      </c>
      <c r="B183" s="2" t="s">
        <v>313</v>
      </c>
      <c r="C183" s="50">
        <v>-122788.16</v>
      </c>
      <c r="D183" s="50">
        <v>-340000.02</v>
      </c>
      <c r="E183" s="50">
        <v>63.89</v>
      </c>
      <c r="F183" s="50">
        <v>36.11</v>
      </c>
      <c r="G183" s="50">
        <v>-217211.86</v>
      </c>
      <c r="I183" s="50">
        <v>-13339.32</v>
      </c>
      <c r="J183" s="50">
        <v>-82805.14</v>
      </c>
      <c r="L183" s="50">
        <v>-5244.8</v>
      </c>
      <c r="M183" s="50">
        <v>-5240.6099999999997</v>
      </c>
      <c r="N183" s="50">
        <v>-8552.7000000000007</v>
      </c>
      <c r="O183" s="50">
        <v>-7605.59</v>
      </c>
    </row>
    <row r="184" spans="1:15" x14ac:dyDescent="0.25">
      <c r="A184" s="2" t="s">
        <v>314</v>
      </c>
      <c r="B184" s="2" t="s">
        <v>315</v>
      </c>
      <c r="C184" s="50">
        <v>-53954.52</v>
      </c>
      <c r="D184" s="50">
        <v>-263500</v>
      </c>
      <c r="E184" s="50">
        <v>79.52</v>
      </c>
      <c r="F184" s="50">
        <v>20.48</v>
      </c>
      <c r="G184" s="50">
        <v>-209545.48</v>
      </c>
      <c r="I184" s="50">
        <v>-4500</v>
      </c>
      <c r="J184" s="50">
        <v>-5298.15</v>
      </c>
      <c r="K184" s="50">
        <v>-7055.98</v>
      </c>
      <c r="L184" s="50">
        <v>-2652.79</v>
      </c>
      <c r="M184" s="50">
        <v>-2394</v>
      </c>
      <c r="N184" s="50">
        <v>-11808.6</v>
      </c>
      <c r="O184" s="50">
        <v>-20245</v>
      </c>
    </row>
    <row r="185" spans="1:15" x14ac:dyDescent="0.25">
      <c r="A185" s="2" t="s">
        <v>316</v>
      </c>
      <c r="B185" s="2" t="s">
        <v>317</v>
      </c>
      <c r="C185" s="50">
        <v>-27715.03</v>
      </c>
      <c r="D185" s="50">
        <v>-117000</v>
      </c>
      <c r="E185" s="50">
        <v>76.31</v>
      </c>
      <c r="F185" s="50">
        <v>23.69</v>
      </c>
      <c r="G185" s="50">
        <v>-89284.97</v>
      </c>
      <c r="I185" s="50">
        <v>-2994.02</v>
      </c>
      <c r="J185" s="50">
        <v>-16332.57</v>
      </c>
      <c r="L185" s="50">
        <v>-2730.87</v>
      </c>
      <c r="M185" s="50">
        <v>-1818.3</v>
      </c>
      <c r="N185" s="50">
        <v>-2351.9499999999998</v>
      </c>
      <c r="O185" s="50">
        <v>-1487.32</v>
      </c>
    </row>
    <row r="186" spans="1:15" x14ac:dyDescent="0.25">
      <c r="A186" s="2" t="s">
        <v>318</v>
      </c>
      <c r="B186" s="2" t="s">
        <v>319</v>
      </c>
      <c r="C186" s="50">
        <v>-123297.54</v>
      </c>
      <c r="D186" s="50">
        <v>-1190688</v>
      </c>
      <c r="E186" s="50">
        <v>89.64</v>
      </c>
      <c r="F186" s="50">
        <v>10.36</v>
      </c>
      <c r="G186" s="50">
        <v>-1067390.46</v>
      </c>
      <c r="I186" s="50">
        <v>-25909.27</v>
      </c>
      <c r="J186" s="50">
        <v>-43980.28</v>
      </c>
      <c r="K186" s="50">
        <v>-8514.9500000000007</v>
      </c>
      <c r="L186" s="50">
        <v>-3856.92</v>
      </c>
      <c r="M186" s="50">
        <v>-767.9</v>
      </c>
      <c r="N186" s="50">
        <v>-33866.629999999997</v>
      </c>
      <c r="O186" s="50">
        <v>-6401.59</v>
      </c>
    </row>
    <row r="187" spans="1:15" x14ac:dyDescent="0.25">
      <c r="A187" s="2" t="s">
        <v>320</v>
      </c>
      <c r="B187" s="2" t="s">
        <v>321</v>
      </c>
      <c r="C187" s="50">
        <v>-32538.06</v>
      </c>
      <c r="D187" s="50">
        <v>-271999.99</v>
      </c>
      <c r="E187" s="50">
        <v>88.04</v>
      </c>
      <c r="F187" s="50">
        <v>11.96</v>
      </c>
      <c r="G187" s="50">
        <v>-239461.93</v>
      </c>
      <c r="I187" s="50">
        <v>-141.96</v>
      </c>
      <c r="J187" s="50">
        <v>-17052.78</v>
      </c>
      <c r="K187" s="50">
        <v>-172</v>
      </c>
      <c r="L187" s="50">
        <v>-1213.5999999999999</v>
      </c>
      <c r="M187" s="50">
        <v>-9669.67</v>
      </c>
      <c r="N187" s="50">
        <v>-345.08</v>
      </c>
      <c r="O187" s="50">
        <v>-3942.97</v>
      </c>
    </row>
    <row r="188" spans="1:15" x14ac:dyDescent="0.25">
      <c r="A188" s="2" t="s">
        <v>322</v>
      </c>
      <c r="B188" s="2" t="s">
        <v>323</v>
      </c>
      <c r="C188" s="50">
        <v>-1183182.6100000001</v>
      </c>
      <c r="D188" s="50">
        <v>-4683700</v>
      </c>
      <c r="E188" s="50">
        <v>74.739999999999995</v>
      </c>
      <c r="F188" s="50">
        <v>25.26</v>
      </c>
      <c r="G188" s="50">
        <v>-3500517.39</v>
      </c>
      <c r="J188" s="50">
        <v>-575152.30000000005</v>
      </c>
      <c r="K188" s="50">
        <v>-278901.64</v>
      </c>
      <c r="L188" s="50">
        <v>-56824.47</v>
      </c>
      <c r="M188" s="50">
        <v>-52390.1</v>
      </c>
      <c r="N188" s="50">
        <v>-111838.85</v>
      </c>
      <c r="O188" s="50">
        <v>-108075.25</v>
      </c>
    </row>
    <row r="189" spans="1:15" x14ac:dyDescent="0.25">
      <c r="A189" s="2" t="s">
        <v>324</v>
      </c>
      <c r="B189" s="2" t="s">
        <v>325</v>
      </c>
      <c r="C189" s="50">
        <v>-7842</v>
      </c>
      <c r="G189" s="50">
        <v>7842</v>
      </c>
      <c r="J189" s="50">
        <v>-6960</v>
      </c>
      <c r="N189" s="50">
        <v>-882</v>
      </c>
    </row>
    <row r="190" spans="1:15" x14ac:dyDescent="0.25">
      <c r="A190" s="2" t="s">
        <v>326</v>
      </c>
      <c r="B190" s="2" t="s">
        <v>327</v>
      </c>
      <c r="C190" s="50">
        <v>-98589.34</v>
      </c>
      <c r="D190" s="50">
        <v>-140000</v>
      </c>
      <c r="E190" s="50">
        <v>29.58</v>
      </c>
      <c r="F190" s="50">
        <v>70.42</v>
      </c>
      <c r="G190" s="50">
        <v>-41410.660000000003</v>
      </c>
      <c r="J190" s="50">
        <v>-3053</v>
      </c>
      <c r="L190" s="50">
        <v>-94559.34</v>
      </c>
      <c r="N190" s="50">
        <v>-977</v>
      </c>
    </row>
    <row r="191" spans="1:15" x14ac:dyDescent="0.25">
      <c r="A191" s="2" t="s">
        <v>328</v>
      </c>
      <c r="B191" s="2" t="s">
        <v>329</v>
      </c>
      <c r="D191" s="50">
        <v>-674000</v>
      </c>
      <c r="E191" s="50">
        <v>100</v>
      </c>
      <c r="G191" s="50">
        <v>-674000</v>
      </c>
    </row>
    <row r="192" spans="1:15" x14ac:dyDescent="0.25">
      <c r="A192" s="2" t="s">
        <v>330</v>
      </c>
      <c r="B192" s="2" t="s">
        <v>331</v>
      </c>
      <c r="C192" s="50">
        <v>-149461.17000000001</v>
      </c>
      <c r="D192" s="50">
        <v>-570218</v>
      </c>
      <c r="E192" s="50">
        <v>73.790000000000006</v>
      </c>
      <c r="F192" s="50">
        <v>26.21</v>
      </c>
      <c r="G192" s="50">
        <v>-420756.83</v>
      </c>
      <c r="J192" s="50">
        <v>-22220.15</v>
      </c>
      <c r="K192" s="50">
        <v>-87632.4</v>
      </c>
      <c r="M192" s="50">
        <v>-470.73</v>
      </c>
      <c r="N192" s="50">
        <v>-27628.67</v>
      </c>
      <c r="O192" s="50">
        <v>-11509.22</v>
      </c>
    </row>
    <row r="193" spans="1:16" x14ac:dyDescent="0.25">
      <c r="A193" s="2" t="s">
        <v>332</v>
      </c>
      <c r="B193" s="2" t="s">
        <v>333</v>
      </c>
    </row>
    <row r="194" spans="1:16" x14ac:dyDescent="0.25">
      <c r="A194" s="2" t="s">
        <v>334</v>
      </c>
      <c r="B194" s="2" t="s">
        <v>335</v>
      </c>
      <c r="C194" s="50">
        <v>-1.62</v>
      </c>
      <c r="D194" s="50">
        <v>22.49</v>
      </c>
      <c r="E194" s="50">
        <v>107.2</v>
      </c>
      <c r="F194" s="50">
        <v>-7.2</v>
      </c>
      <c r="G194" s="50">
        <v>24.11</v>
      </c>
      <c r="I194" s="50">
        <v>-1.62</v>
      </c>
    </row>
    <row r="195" spans="1:16" x14ac:dyDescent="0.25">
      <c r="A195" s="2" t="s">
        <v>336</v>
      </c>
      <c r="B195" s="2" t="s">
        <v>337</v>
      </c>
    </row>
    <row r="196" spans="1:16" x14ac:dyDescent="0.25">
      <c r="A196" s="2" t="s">
        <v>338</v>
      </c>
      <c r="B196" s="2" t="s">
        <v>339</v>
      </c>
    </row>
    <row r="197" spans="1:16" x14ac:dyDescent="0.25">
      <c r="A197" s="3" t="s">
        <v>340</v>
      </c>
      <c r="B197" s="3" t="s">
        <v>341</v>
      </c>
      <c r="C197" s="51">
        <v>-9145002.5</v>
      </c>
      <c r="D197" s="51">
        <v>-30277905.449999999</v>
      </c>
      <c r="E197" s="51">
        <v>69.8</v>
      </c>
      <c r="F197" s="51">
        <v>30.2</v>
      </c>
      <c r="G197" s="51">
        <v>-21132902.949999999</v>
      </c>
      <c r="I197" s="51">
        <v>454043.64</v>
      </c>
      <c r="J197" s="51">
        <v>-3975625.61</v>
      </c>
      <c r="K197" s="51">
        <v>-679426.49</v>
      </c>
      <c r="L197" s="51">
        <v>-1279994.8799999999</v>
      </c>
      <c r="M197" s="51">
        <v>-1000312</v>
      </c>
      <c r="N197" s="51">
        <v>-1208243.96</v>
      </c>
      <c r="O197" s="51">
        <v>-1455443.2</v>
      </c>
      <c r="P197" s="51"/>
    </row>
    <row r="198" spans="1:16" x14ac:dyDescent="0.25">
      <c r="A198" s="2" t="s">
        <v>12</v>
      </c>
      <c r="B198" s="2" t="s">
        <v>12</v>
      </c>
    </row>
    <row r="199" spans="1:16" x14ac:dyDescent="0.25">
      <c r="A199" s="3" t="s">
        <v>342</v>
      </c>
      <c r="B199" s="3" t="s">
        <v>343</v>
      </c>
      <c r="C199" s="51"/>
      <c r="D199" s="51"/>
      <c r="E199" s="51"/>
      <c r="F199" s="51"/>
      <c r="G199" s="51"/>
      <c r="I199" s="51"/>
      <c r="J199" s="51"/>
      <c r="K199" s="51"/>
      <c r="L199" s="51"/>
      <c r="M199" s="51"/>
      <c r="N199" s="51"/>
      <c r="O199" s="51"/>
      <c r="P199" s="51"/>
    </row>
    <row r="200" spans="1:16" x14ac:dyDescent="0.25">
      <c r="A200" s="2" t="s">
        <v>344</v>
      </c>
      <c r="B200" s="2" t="s">
        <v>345</v>
      </c>
    </row>
    <row r="201" spans="1:16" x14ac:dyDescent="0.25">
      <c r="A201" s="2" t="s">
        <v>346</v>
      </c>
      <c r="B201" s="2" t="s">
        <v>347</v>
      </c>
    </row>
    <row r="202" spans="1:16" x14ac:dyDescent="0.25">
      <c r="A202" s="2" t="s">
        <v>348</v>
      </c>
      <c r="B202" s="2" t="s">
        <v>349</v>
      </c>
      <c r="D202" s="50">
        <v>42000</v>
      </c>
      <c r="E202" s="50">
        <v>100</v>
      </c>
      <c r="G202" s="50">
        <v>42000</v>
      </c>
    </row>
    <row r="203" spans="1:16" x14ac:dyDescent="0.25">
      <c r="A203" s="2" t="s">
        <v>350</v>
      </c>
      <c r="B203" s="2" t="s">
        <v>351</v>
      </c>
    </row>
    <row r="204" spans="1:16" x14ac:dyDescent="0.25">
      <c r="A204" s="2" t="s">
        <v>352</v>
      </c>
      <c r="B204" s="2" t="s">
        <v>353</v>
      </c>
    </row>
    <row r="205" spans="1:16" x14ac:dyDescent="0.25">
      <c r="A205" s="2" t="s">
        <v>354</v>
      </c>
      <c r="B205" s="2" t="s">
        <v>355</v>
      </c>
      <c r="C205" s="50">
        <v>-1246.72</v>
      </c>
      <c r="G205" s="50">
        <v>1246.72</v>
      </c>
      <c r="I205" s="50">
        <v>418.28</v>
      </c>
      <c r="J205" s="50">
        <v>-1665</v>
      </c>
    </row>
    <row r="206" spans="1:16" x14ac:dyDescent="0.25">
      <c r="A206" s="2" t="s">
        <v>356</v>
      </c>
      <c r="B206" s="2" t="s">
        <v>357</v>
      </c>
    </row>
    <row r="207" spans="1:16" x14ac:dyDescent="0.25">
      <c r="A207" s="2" t="s">
        <v>358</v>
      </c>
      <c r="B207" s="2" t="s">
        <v>359</v>
      </c>
    </row>
    <row r="208" spans="1:16" x14ac:dyDescent="0.25">
      <c r="A208" s="3" t="s">
        <v>360</v>
      </c>
      <c r="B208" s="3" t="s">
        <v>361</v>
      </c>
      <c r="C208" s="51">
        <v>-1246.72</v>
      </c>
      <c r="D208" s="51">
        <v>42000</v>
      </c>
      <c r="E208" s="51">
        <v>102.97</v>
      </c>
      <c r="F208" s="51">
        <v>-2.97</v>
      </c>
      <c r="G208" s="51">
        <v>43246.720000000001</v>
      </c>
      <c r="I208" s="51">
        <v>418.28</v>
      </c>
      <c r="J208" s="51">
        <v>-1665</v>
      </c>
      <c r="K208" s="51"/>
      <c r="L208" s="51"/>
      <c r="M208" s="51"/>
      <c r="N208" s="51"/>
      <c r="O208" s="51"/>
      <c r="P208" s="51"/>
    </row>
    <row r="209" spans="1:16" x14ac:dyDescent="0.25">
      <c r="A209" s="2" t="s">
        <v>12</v>
      </c>
      <c r="B209" s="2" t="s">
        <v>12</v>
      </c>
    </row>
    <row r="210" spans="1:16" x14ac:dyDescent="0.25">
      <c r="A210" s="3" t="s">
        <v>362</v>
      </c>
      <c r="B210" s="3" t="s">
        <v>40</v>
      </c>
      <c r="C210" s="51"/>
      <c r="D210" s="51"/>
      <c r="E210" s="51"/>
      <c r="F210" s="51"/>
      <c r="G210" s="51"/>
      <c r="I210" s="51"/>
      <c r="J210" s="51"/>
      <c r="K210" s="51"/>
      <c r="L210" s="51"/>
      <c r="M210" s="51"/>
      <c r="N210" s="51"/>
      <c r="O210" s="51"/>
      <c r="P210" s="51"/>
    </row>
    <row r="211" spans="1:16" x14ac:dyDescent="0.25">
      <c r="A211" s="2" t="s">
        <v>363</v>
      </c>
      <c r="B211" s="2" t="s">
        <v>364</v>
      </c>
      <c r="D211" s="50">
        <v>-245.74</v>
      </c>
      <c r="E211" s="50">
        <v>100</v>
      </c>
      <c r="G211" s="50">
        <v>-245.74</v>
      </c>
    </row>
    <row r="212" spans="1:16" x14ac:dyDescent="0.25">
      <c r="A212" s="2" t="s">
        <v>365</v>
      </c>
      <c r="B212" s="2" t="s">
        <v>366</v>
      </c>
      <c r="C212" s="50">
        <v>-120582.87</v>
      </c>
      <c r="D212" s="50">
        <v>-456010</v>
      </c>
      <c r="E212" s="50">
        <v>73.56</v>
      </c>
      <c r="F212" s="50">
        <v>26.44</v>
      </c>
      <c r="G212" s="50">
        <v>-335427.13</v>
      </c>
      <c r="N212" s="50">
        <v>-7383.48</v>
      </c>
      <c r="O212" s="50">
        <v>-113199.39</v>
      </c>
    </row>
    <row r="213" spans="1:16" x14ac:dyDescent="0.25">
      <c r="A213" s="2" t="s">
        <v>367</v>
      </c>
      <c r="B213" s="2" t="s">
        <v>368</v>
      </c>
      <c r="C213" s="50">
        <v>-3697.24</v>
      </c>
      <c r="G213" s="50">
        <v>3697.24</v>
      </c>
      <c r="I213" s="50">
        <v>-3632.24</v>
      </c>
      <c r="O213" s="50">
        <v>-65</v>
      </c>
    </row>
    <row r="214" spans="1:16" x14ac:dyDescent="0.25">
      <c r="A214" s="2" t="s">
        <v>369</v>
      </c>
      <c r="B214" s="2" t="s">
        <v>370</v>
      </c>
      <c r="C214" s="50">
        <v>-7016.51</v>
      </c>
      <c r="D214" s="50">
        <v>-7227.84</v>
      </c>
      <c r="E214" s="50">
        <v>2.92</v>
      </c>
      <c r="F214" s="50">
        <v>97.08</v>
      </c>
      <c r="G214" s="50">
        <v>-211.33</v>
      </c>
      <c r="I214" s="50">
        <v>-100.54</v>
      </c>
      <c r="J214" s="50">
        <v>-2563.59</v>
      </c>
      <c r="K214" s="50">
        <v>-973.49</v>
      </c>
      <c r="L214" s="50">
        <v>-1626.3</v>
      </c>
      <c r="M214" s="50">
        <v>-313.33</v>
      </c>
      <c r="N214" s="50">
        <v>-588.23</v>
      </c>
      <c r="O214" s="50">
        <v>-851.03</v>
      </c>
    </row>
    <row r="215" spans="1:16" x14ac:dyDescent="0.25">
      <c r="A215" s="2" t="s">
        <v>371</v>
      </c>
      <c r="B215" s="2" t="s">
        <v>372</v>
      </c>
    </row>
    <row r="216" spans="1:16" x14ac:dyDescent="0.25">
      <c r="A216" s="2" t="s">
        <v>373</v>
      </c>
      <c r="B216" s="2" t="s">
        <v>374</v>
      </c>
    </row>
    <row r="217" spans="1:16" x14ac:dyDescent="0.25">
      <c r="A217" s="2" t="s">
        <v>375</v>
      </c>
      <c r="B217" s="2" t="s">
        <v>376</v>
      </c>
      <c r="C217" s="50">
        <v>-307.70999999999998</v>
      </c>
      <c r="G217" s="50">
        <v>307.70999999999998</v>
      </c>
      <c r="L217" s="50">
        <v>-307.70999999999998</v>
      </c>
    </row>
    <row r="218" spans="1:16" x14ac:dyDescent="0.25">
      <c r="A218" s="3" t="s">
        <v>377</v>
      </c>
      <c r="B218" s="3" t="s">
        <v>378</v>
      </c>
      <c r="C218" s="51">
        <v>-131604.32999999999</v>
      </c>
      <c r="D218" s="51">
        <v>-463483.58</v>
      </c>
      <c r="E218" s="51">
        <v>71.61</v>
      </c>
      <c r="F218" s="51">
        <v>28.39</v>
      </c>
      <c r="G218" s="51">
        <v>-331879.25</v>
      </c>
      <c r="I218" s="51">
        <v>-3732.78</v>
      </c>
      <c r="J218" s="51">
        <v>-2563.59</v>
      </c>
      <c r="K218" s="51">
        <v>-973.49</v>
      </c>
      <c r="L218" s="51">
        <v>-1934.01</v>
      </c>
      <c r="M218" s="51">
        <v>-313.33</v>
      </c>
      <c r="N218" s="51">
        <v>-7971.71</v>
      </c>
      <c r="O218" s="51">
        <v>-114115.42</v>
      </c>
      <c r="P218" s="51"/>
    </row>
    <row r="219" spans="1:16" x14ac:dyDescent="0.25">
      <c r="A219" s="2" t="s">
        <v>12</v>
      </c>
      <c r="B219" s="2" t="s">
        <v>12</v>
      </c>
    </row>
    <row r="220" spans="1:16" x14ac:dyDescent="0.25">
      <c r="A220" s="3" t="s">
        <v>379</v>
      </c>
      <c r="B220" s="3" t="s">
        <v>380</v>
      </c>
      <c r="C220" s="51"/>
      <c r="D220" s="51"/>
      <c r="E220" s="51"/>
      <c r="F220" s="51"/>
      <c r="G220" s="51"/>
      <c r="I220" s="51"/>
      <c r="J220" s="51"/>
      <c r="K220" s="51"/>
      <c r="L220" s="51"/>
      <c r="M220" s="51"/>
      <c r="N220" s="51"/>
      <c r="O220" s="51"/>
      <c r="P220" s="51"/>
    </row>
    <row r="221" spans="1:16" x14ac:dyDescent="0.25">
      <c r="A221" s="2" t="s">
        <v>381</v>
      </c>
      <c r="B221" s="2" t="s">
        <v>380</v>
      </c>
    </row>
    <row r="222" spans="1:16" x14ac:dyDescent="0.25">
      <c r="A222" s="3" t="s">
        <v>382</v>
      </c>
      <c r="B222" s="3" t="s">
        <v>383</v>
      </c>
      <c r="C222" s="51"/>
      <c r="D222" s="51"/>
      <c r="E222" s="51"/>
      <c r="F222" s="51"/>
      <c r="G222" s="51"/>
      <c r="I222" s="51"/>
      <c r="J222" s="51"/>
      <c r="K222" s="51"/>
      <c r="L222" s="51"/>
      <c r="M222" s="51"/>
      <c r="N222" s="51"/>
      <c r="O222" s="51"/>
      <c r="P222" s="51"/>
    </row>
    <row r="223" spans="1:16" x14ac:dyDescent="0.25">
      <c r="A223" s="2" t="s">
        <v>12</v>
      </c>
      <c r="B223" s="2" t="s">
        <v>12</v>
      </c>
    </row>
    <row r="224" spans="1:16" x14ac:dyDescent="0.25">
      <c r="A224" s="3" t="s">
        <v>384</v>
      </c>
      <c r="B224" s="3" t="s">
        <v>385</v>
      </c>
      <c r="C224" s="51"/>
      <c r="D224" s="51"/>
      <c r="E224" s="51"/>
      <c r="F224" s="51"/>
      <c r="G224" s="51"/>
      <c r="I224" s="51"/>
      <c r="J224" s="51"/>
      <c r="K224" s="51"/>
      <c r="L224" s="51"/>
      <c r="M224" s="51"/>
      <c r="N224" s="51"/>
      <c r="O224" s="51"/>
      <c r="P224" s="51"/>
    </row>
    <row r="225" spans="1:16" x14ac:dyDescent="0.25">
      <c r="A225" s="2" t="s">
        <v>386</v>
      </c>
      <c r="B225" s="2" t="s">
        <v>385</v>
      </c>
    </row>
    <row r="226" spans="1:16" x14ac:dyDescent="0.25">
      <c r="A226" s="3" t="s">
        <v>387</v>
      </c>
      <c r="B226" s="3" t="s">
        <v>388</v>
      </c>
      <c r="C226" s="51"/>
      <c r="D226" s="51"/>
      <c r="E226" s="51"/>
      <c r="F226" s="51"/>
      <c r="G226" s="51"/>
      <c r="I226" s="51"/>
      <c r="J226" s="51"/>
      <c r="K226" s="51"/>
      <c r="L226" s="51"/>
      <c r="M226" s="51"/>
      <c r="N226" s="51"/>
      <c r="O226" s="51"/>
      <c r="P226" s="51"/>
    </row>
    <row r="227" spans="1:16" x14ac:dyDescent="0.25">
      <c r="A227" s="2" t="s">
        <v>12</v>
      </c>
      <c r="B227" s="2" t="s">
        <v>12</v>
      </c>
    </row>
    <row r="228" spans="1:16" ht="15.75" thickBot="1" x14ac:dyDescent="0.3">
      <c r="A228" s="4" t="s">
        <v>389</v>
      </c>
      <c r="B228" s="4" t="s">
        <v>390</v>
      </c>
      <c r="C228" s="52">
        <v>8635017.6400000006</v>
      </c>
      <c r="D228" s="52">
        <v>-1120486.18</v>
      </c>
      <c r="E228" s="52">
        <v>870.65</v>
      </c>
      <c r="F228" s="52">
        <v>-770.65</v>
      </c>
      <c r="G228" s="52">
        <v>-9755503.8200000003</v>
      </c>
      <c r="I228" s="52"/>
      <c r="J228" s="52">
        <v>-894949.66</v>
      </c>
      <c r="K228" s="52">
        <v>1171714.77</v>
      </c>
      <c r="L228" s="52">
        <v>-53620.7</v>
      </c>
      <c r="M228" s="52">
        <v>808762.11</v>
      </c>
      <c r="N228" s="52">
        <v>-1322399.23</v>
      </c>
      <c r="O228" s="52">
        <v>-1861608.81</v>
      </c>
      <c r="P228" s="52">
        <v>10787119.16</v>
      </c>
    </row>
    <row r="229" spans="1:16" ht="15.75" thickTop="1" x14ac:dyDescent="0.25">
      <c r="A229" s="2" t="s">
        <v>12</v>
      </c>
      <c r="B229" s="2" t="s">
        <v>12</v>
      </c>
    </row>
    <row r="230" spans="1:16" x14ac:dyDescent="0.25">
      <c r="A230" s="3" t="s">
        <v>391</v>
      </c>
      <c r="B230" s="3" t="s">
        <v>392</v>
      </c>
      <c r="C230" s="51"/>
      <c r="D230" s="51"/>
      <c r="E230" s="51"/>
      <c r="F230" s="51"/>
      <c r="G230" s="51"/>
      <c r="I230" s="51"/>
      <c r="J230" s="51"/>
      <c r="K230" s="51"/>
      <c r="L230" s="51"/>
      <c r="M230" s="51"/>
      <c r="N230" s="51"/>
      <c r="O230" s="51"/>
      <c r="P230" s="51"/>
    </row>
    <row r="231" spans="1:16" x14ac:dyDescent="0.25">
      <c r="A231" s="2" t="s">
        <v>393</v>
      </c>
      <c r="B231" s="2" t="s">
        <v>394</v>
      </c>
    </row>
    <row r="232" spans="1:16" x14ac:dyDescent="0.25">
      <c r="A232" s="2" t="s">
        <v>395</v>
      </c>
      <c r="B232" s="2" t="s">
        <v>396</v>
      </c>
    </row>
    <row r="233" spans="1:16" x14ac:dyDescent="0.25">
      <c r="A233" s="2" t="s">
        <v>397</v>
      </c>
      <c r="B233" s="2" t="s">
        <v>398</v>
      </c>
    </row>
    <row r="234" spans="1:16" x14ac:dyDescent="0.25">
      <c r="A234" s="3" t="s">
        <v>399</v>
      </c>
      <c r="B234" s="3" t="s">
        <v>400</v>
      </c>
      <c r="C234" s="51"/>
      <c r="D234" s="51"/>
      <c r="E234" s="51"/>
      <c r="F234" s="51"/>
      <c r="G234" s="51"/>
      <c r="I234" s="51"/>
      <c r="J234" s="51"/>
      <c r="K234" s="51"/>
      <c r="L234" s="51"/>
      <c r="M234" s="51"/>
      <c r="N234" s="51"/>
      <c r="O234" s="51"/>
      <c r="P234" s="51"/>
    </row>
    <row r="235" spans="1:16" x14ac:dyDescent="0.25">
      <c r="A235" s="2" t="s">
        <v>12</v>
      </c>
      <c r="B235" s="2" t="s">
        <v>12</v>
      </c>
    </row>
    <row r="236" spans="1:16" ht="15.75" thickBot="1" x14ac:dyDescent="0.3">
      <c r="A236" s="4" t="s">
        <v>12</v>
      </c>
      <c r="B236" s="4" t="s">
        <v>46</v>
      </c>
      <c r="C236" s="52">
        <v>8635017.6400000006</v>
      </c>
      <c r="D236" s="52">
        <v>-1120486.18</v>
      </c>
      <c r="E236" s="52">
        <v>870.65</v>
      </c>
      <c r="F236" s="52">
        <v>-770.65</v>
      </c>
      <c r="G236" s="52">
        <v>-9755503.8200000003</v>
      </c>
      <c r="I236" s="52"/>
      <c r="J236" s="52">
        <v>-894949.66</v>
      </c>
      <c r="K236" s="52">
        <v>1171714.77</v>
      </c>
      <c r="L236" s="52">
        <v>-53620.7</v>
      </c>
      <c r="M236" s="52">
        <v>808762.11</v>
      </c>
      <c r="N236" s="52">
        <v>-1322399.23</v>
      </c>
      <c r="O236" s="52">
        <v>-1861608.81</v>
      </c>
      <c r="P236" s="52">
        <v>10787119.16</v>
      </c>
    </row>
    <row r="237" spans="1:16" ht="15.75" thickTop="1" x14ac:dyDescent="0.25">
      <c r="A237" s="2" t="s">
        <v>12</v>
      </c>
      <c r="B237" s="2" t="s">
        <v>12</v>
      </c>
    </row>
    <row r="238" spans="1:16" x14ac:dyDescent="0.25">
      <c r="A238" s="2" t="s">
        <v>401</v>
      </c>
      <c r="B238" s="2" t="s">
        <v>402</v>
      </c>
    </row>
    <row r="239" spans="1:16" x14ac:dyDescent="0.25">
      <c r="A239" s="2" t="s">
        <v>403</v>
      </c>
      <c r="B239" s="2" t="s">
        <v>404</v>
      </c>
      <c r="C239" s="50">
        <v>85929.24</v>
      </c>
      <c r="G239" s="50">
        <v>-85929.24</v>
      </c>
      <c r="O239" s="50">
        <v>85929.24</v>
      </c>
    </row>
    <row r="240" spans="1:16" x14ac:dyDescent="0.25">
      <c r="A240" s="2" t="s">
        <v>405</v>
      </c>
      <c r="B240" s="2" t="s">
        <v>406</v>
      </c>
      <c r="C240" s="50">
        <v>-1619347.55</v>
      </c>
      <c r="D240" s="50">
        <v>-3644077.35</v>
      </c>
      <c r="E240" s="50">
        <v>55.56</v>
      </c>
      <c r="F240" s="50">
        <v>44.44</v>
      </c>
      <c r="G240" s="50">
        <v>-2024729.8</v>
      </c>
      <c r="J240" s="50">
        <v>-622020.93999999994</v>
      </c>
      <c r="K240" s="50">
        <v>-10768.2</v>
      </c>
      <c r="L240" s="50">
        <v>-206904.92</v>
      </c>
      <c r="M240" s="50">
        <v>-71340.66</v>
      </c>
      <c r="N240" s="50">
        <v>-246196.6</v>
      </c>
      <c r="O240" s="50">
        <v>-462116.23</v>
      </c>
    </row>
    <row r="241" spans="1:16" x14ac:dyDescent="0.25">
      <c r="A241" s="2" t="s">
        <v>407</v>
      </c>
      <c r="B241" s="2" t="s">
        <v>408</v>
      </c>
    </row>
    <row r="242" spans="1:16" x14ac:dyDescent="0.25">
      <c r="A242" s="3" t="s">
        <v>409</v>
      </c>
      <c r="B242" s="3" t="s">
        <v>410</v>
      </c>
      <c r="C242" s="51">
        <v>-1533418.31</v>
      </c>
      <c r="D242" s="51">
        <v>-3644077.35</v>
      </c>
      <c r="E242" s="51">
        <v>57.92</v>
      </c>
      <c r="F242" s="51">
        <v>42.08</v>
      </c>
      <c r="G242" s="51">
        <v>-2110659.04</v>
      </c>
      <c r="I242" s="51"/>
      <c r="J242" s="51">
        <v>-622020.93999999994</v>
      </c>
      <c r="K242" s="51">
        <v>-10768.2</v>
      </c>
      <c r="L242" s="51">
        <v>-206904.92</v>
      </c>
      <c r="M242" s="51">
        <v>-71340.66</v>
      </c>
      <c r="N242" s="51">
        <v>-246196.6</v>
      </c>
      <c r="O242" s="51">
        <v>-376186.99</v>
      </c>
      <c r="P242" s="51"/>
    </row>
    <row r="243" spans="1:16" x14ac:dyDescent="0.25">
      <c r="A243" s="2" t="s">
        <v>12</v>
      </c>
      <c r="B243" s="2" t="s">
        <v>12</v>
      </c>
    </row>
    <row r="244" spans="1:16" ht="15.75" thickBot="1" x14ac:dyDescent="0.3">
      <c r="A244" s="4" t="s">
        <v>411</v>
      </c>
      <c r="B244" s="4" t="s">
        <v>49</v>
      </c>
      <c r="C244" s="52">
        <v>7101599.3300000001</v>
      </c>
      <c r="D244" s="52">
        <v>-4764563.53</v>
      </c>
      <c r="E244" s="52">
        <v>249.05</v>
      </c>
      <c r="F244" s="52">
        <v>-149.05000000000001</v>
      </c>
      <c r="G244" s="52">
        <v>-11866162.859999999</v>
      </c>
      <c r="I244" s="52"/>
      <c r="J244" s="52">
        <v>-1516970.6</v>
      </c>
      <c r="K244" s="52">
        <v>1160946.57</v>
      </c>
      <c r="L244" s="52">
        <v>-260525.62</v>
      </c>
      <c r="M244" s="52">
        <v>737421.45</v>
      </c>
      <c r="N244" s="52">
        <v>-1568595.83</v>
      </c>
      <c r="O244" s="52">
        <v>-2237795.7999999998</v>
      </c>
      <c r="P244" s="52">
        <v>10787119.16</v>
      </c>
    </row>
    <row r="245" spans="1:16" ht="15.75" thickTop="1" x14ac:dyDescent="0.25"/>
  </sheetData>
  <pageMargins left="0.7" right="0.7" top="0.75" bottom="0.75" header="0.3" footer="0.3"/>
  <pageSetup orientation="landscape"/>
  <headerFooter>
    <oddHeader>&amp;BOpfølgningsbudgetter&amp;B
36616_FGU_Odense_mfl</oddHeader>
    <evenHeader>&amp;D
PROD\B059726
Side &amp;P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45"/>
  <sheetViews>
    <sheetView tabSelected="1" zoomScale="90" zoomScaleNormal="90" workbookViewId="0">
      <selection activeCell="S20" sqref="S20"/>
    </sheetView>
  </sheetViews>
  <sheetFormatPr defaultRowHeight="15" x14ac:dyDescent="0.25"/>
  <cols>
    <col min="1" max="1" width="17.7109375" style="45" bestFit="1" customWidth="1"/>
    <col min="2" max="2" width="48.7109375" style="45" bestFit="1" customWidth="1"/>
    <col min="3" max="4" width="14.28515625" style="50" hidden="1" customWidth="1"/>
    <col min="5" max="5" width="11.7109375" style="50" hidden="1" customWidth="1"/>
    <col min="6" max="6" width="20.85546875" style="50" hidden="1" customWidth="1"/>
    <col min="7" max="7" width="14.28515625" style="50" hidden="1" customWidth="1"/>
    <col min="8" max="8" width="16.140625" style="45" customWidth="1"/>
    <col min="9" max="9" width="0" hidden="1" customWidth="1"/>
    <col min="10" max="10" width="0" style="45" hidden="1" customWidth="1"/>
    <col min="11" max="11" width="14.28515625" style="58" bestFit="1" customWidth="1"/>
    <col min="12" max="12" width="15.5703125" style="58" customWidth="1"/>
    <col min="13" max="13" width="14.28515625" style="58" bestFit="1" customWidth="1"/>
    <col min="14" max="14" width="15.28515625" style="58" customWidth="1"/>
    <col min="15" max="15" width="14.28515625" style="58" bestFit="1" customWidth="1"/>
    <col min="16" max="16" width="14.85546875" style="58" customWidth="1"/>
    <col min="17" max="17" width="14.7109375" style="58" customWidth="1"/>
    <col min="18" max="18" width="16.42578125" style="58" customWidth="1"/>
  </cols>
  <sheetData>
    <row r="1" spans="1:18" x14ac:dyDescent="0.25">
      <c r="A1" s="46" t="s">
        <v>0</v>
      </c>
      <c r="H1" s="53"/>
      <c r="K1" s="57"/>
      <c r="L1" s="57"/>
      <c r="M1" s="57"/>
      <c r="N1" s="57"/>
      <c r="O1" s="57"/>
      <c r="P1" s="57"/>
      <c r="Q1" s="57"/>
      <c r="R1" s="57"/>
    </row>
    <row r="2" spans="1:18" x14ac:dyDescent="0.25">
      <c r="A2" s="47" t="s">
        <v>1</v>
      </c>
      <c r="B2" s="47" t="s">
        <v>2</v>
      </c>
      <c r="H2" s="53"/>
      <c r="K2" s="57"/>
      <c r="L2" s="57"/>
      <c r="M2" s="57"/>
      <c r="N2" s="57"/>
      <c r="O2" s="57"/>
      <c r="P2" s="57"/>
      <c r="Q2" s="57"/>
      <c r="R2" s="57"/>
    </row>
    <row r="3" spans="1:18" x14ac:dyDescent="0.25">
      <c r="A3" s="47" t="s">
        <v>3</v>
      </c>
      <c r="B3" s="47" t="s">
        <v>4</v>
      </c>
      <c r="H3" s="53"/>
      <c r="K3" s="57"/>
      <c r="L3" s="57"/>
      <c r="M3" s="57"/>
      <c r="N3" s="57"/>
      <c r="O3" s="57"/>
      <c r="P3" s="57"/>
      <c r="Q3" s="57"/>
      <c r="R3" s="57"/>
    </row>
    <row r="4" spans="1:18" x14ac:dyDescent="0.25">
      <c r="H4" s="53"/>
      <c r="K4" s="57"/>
      <c r="L4" s="57"/>
      <c r="M4" s="57"/>
      <c r="N4" s="57"/>
      <c r="O4" s="57"/>
      <c r="P4" s="57"/>
      <c r="Q4" s="57"/>
      <c r="R4" s="57"/>
    </row>
    <row r="5" spans="1:18" x14ac:dyDescent="0.25">
      <c r="A5" s="47" t="s">
        <v>5</v>
      </c>
      <c r="B5" s="47" t="s">
        <v>6</v>
      </c>
      <c r="H5" s="53"/>
      <c r="K5" s="57"/>
      <c r="L5" s="57"/>
      <c r="M5" s="57"/>
      <c r="N5" s="57"/>
      <c r="O5" s="57"/>
      <c r="P5" s="57"/>
      <c r="Q5" s="57"/>
      <c r="R5" s="57"/>
    </row>
    <row r="7" spans="1:18" x14ac:dyDescent="0.25">
      <c r="C7" s="50" t="s">
        <v>7</v>
      </c>
      <c r="D7" s="50" t="s">
        <v>8</v>
      </c>
      <c r="E7" s="50" t="s">
        <v>9</v>
      </c>
      <c r="F7" s="50" t="s">
        <v>10</v>
      </c>
      <c r="G7" s="50" t="s">
        <v>11</v>
      </c>
      <c r="H7" s="53" t="s">
        <v>428</v>
      </c>
      <c r="K7" s="57" t="s">
        <v>429</v>
      </c>
      <c r="L7" s="57" t="s">
        <v>430</v>
      </c>
      <c r="M7" s="57" t="s">
        <v>431</v>
      </c>
      <c r="N7" s="57" t="s">
        <v>432</v>
      </c>
      <c r="O7" s="57" t="s">
        <v>433</v>
      </c>
      <c r="P7" s="57" t="s">
        <v>434</v>
      </c>
      <c r="Q7" s="57" t="s">
        <v>435</v>
      </c>
      <c r="R7" s="57" t="s">
        <v>436</v>
      </c>
    </row>
    <row r="8" spans="1:18" x14ac:dyDescent="0.25">
      <c r="A8" s="48" t="s">
        <v>12</v>
      </c>
      <c r="B8" s="48" t="s">
        <v>13</v>
      </c>
      <c r="C8" s="51"/>
      <c r="D8" s="51"/>
      <c r="E8" s="51"/>
      <c r="F8" s="51"/>
      <c r="G8" s="51"/>
      <c r="H8" s="5"/>
      <c r="K8" s="8"/>
      <c r="L8" s="8"/>
      <c r="M8" s="8"/>
      <c r="N8" s="8"/>
      <c r="O8" s="8"/>
      <c r="P8" s="8"/>
      <c r="Q8" s="8"/>
      <c r="R8" s="8"/>
    </row>
    <row r="9" spans="1:18" x14ac:dyDescent="0.25">
      <c r="A9" s="47" t="s">
        <v>12</v>
      </c>
      <c r="B9" s="47" t="s">
        <v>12</v>
      </c>
      <c r="H9" s="53"/>
      <c r="K9" s="57"/>
      <c r="L9" s="57"/>
      <c r="M9" s="57"/>
      <c r="N9" s="57"/>
      <c r="O9" s="57"/>
      <c r="P9" s="57"/>
      <c r="Q9" s="57"/>
      <c r="R9" s="57"/>
    </row>
    <row r="10" spans="1:18" x14ac:dyDescent="0.25">
      <c r="A10" s="47" t="s">
        <v>14</v>
      </c>
      <c r="B10" s="47" t="s">
        <v>15</v>
      </c>
      <c r="C10" s="50">
        <v>46576460.770000003</v>
      </c>
      <c r="D10" s="50">
        <v>90947976.510000005</v>
      </c>
      <c r="E10" s="50">
        <v>48.79</v>
      </c>
      <c r="F10" s="50">
        <v>51.21</v>
      </c>
      <c r="G10" s="50">
        <v>44371515.740000002</v>
      </c>
      <c r="H10" s="53">
        <f>SUM(K10:R10)</f>
        <v>79521201.560000002</v>
      </c>
      <c r="K10" s="57">
        <f>'Fælles adm.'!H11</f>
        <v>2226850</v>
      </c>
      <c r="L10" s="57">
        <f>Odense!H11</f>
        <v>26701077.614952132</v>
      </c>
      <c r="M10" s="57">
        <f>Laks!H11</f>
        <v>0</v>
      </c>
      <c r="N10" s="57">
        <f>Assens!H11</f>
        <v>9948904.7719312049</v>
      </c>
      <c r="O10" s="57">
        <f>Nyborg!H11</f>
        <v>9288563.3756021392</v>
      </c>
      <c r="P10" s="57">
        <f>Nordfyn!H11</f>
        <v>10578347.462213119</v>
      </c>
      <c r="Q10" s="57">
        <f>Kerteminde!H11</f>
        <v>10693325.965301402</v>
      </c>
      <c r="R10" s="57">
        <f>'Særlige tilskud'!H11</f>
        <v>10084132.370000001</v>
      </c>
    </row>
    <row r="11" spans="1:18" x14ac:dyDescent="0.25">
      <c r="A11" s="47" t="s">
        <v>16</v>
      </c>
      <c r="B11" s="47" t="s">
        <v>17</v>
      </c>
      <c r="C11" s="50">
        <v>3310489.05</v>
      </c>
      <c r="D11" s="50">
        <v>5639295.6699999999</v>
      </c>
      <c r="E11" s="50">
        <v>41.3</v>
      </c>
      <c r="F11" s="50">
        <v>58.7</v>
      </c>
      <c r="G11" s="50">
        <v>2328806.62</v>
      </c>
      <c r="H11" s="53">
        <f>SUM(K11:R11)</f>
        <v>5844287.0500000007</v>
      </c>
      <c r="K11" s="57">
        <f>'Fælles adm.'!H12</f>
        <v>13398</v>
      </c>
      <c r="L11" s="57">
        <f>Odense!H12</f>
        <v>677012.72</v>
      </c>
      <c r="M11" s="57">
        <f>Laks!H12</f>
        <v>3247833</v>
      </c>
      <c r="N11" s="57">
        <f>Assens!H12</f>
        <v>768350.2</v>
      </c>
      <c r="O11" s="57">
        <f>Nyborg!H12</f>
        <v>164939.53</v>
      </c>
      <c r="P11" s="57">
        <f>Nordfyn!H12</f>
        <v>680657.4</v>
      </c>
      <c r="Q11" s="57">
        <f>Kerteminde!H12</f>
        <v>292096.2</v>
      </c>
      <c r="R11" s="57">
        <f>'Særlige tilskud'!H12</f>
        <v>0</v>
      </c>
    </row>
    <row r="12" spans="1:18" x14ac:dyDescent="0.25">
      <c r="A12" s="47" t="s">
        <v>18</v>
      </c>
      <c r="B12" s="47" t="s">
        <v>19</v>
      </c>
      <c r="C12" s="50">
        <v>362884.2</v>
      </c>
      <c r="G12" s="50">
        <v>-362884.2</v>
      </c>
      <c r="H12" s="53">
        <f>SUM(K12:R12)</f>
        <v>698365.85000000009</v>
      </c>
      <c r="K12" s="57">
        <f>'Fælles adm.'!H13</f>
        <v>4644.5</v>
      </c>
      <c r="L12" s="57">
        <f>Odense!H13</f>
        <v>469392</v>
      </c>
      <c r="M12" s="57">
        <f>Laks!H13</f>
        <v>0</v>
      </c>
      <c r="N12" s="57">
        <f>Assens!H13</f>
        <v>0</v>
      </c>
      <c r="O12" s="57">
        <f>Nyborg!H13</f>
        <v>22758.05</v>
      </c>
      <c r="P12" s="57">
        <f>Nordfyn!H13</f>
        <v>51089.5</v>
      </c>
      <c r="Q12" s="57">
        <f>Kerteminde!H13</f>
        <v>150481.79999999999</v>
      </c>
      <c r="R12" s="57">
        <f>'Særlige tilskud'!H13</f>
        <v>0</v>
      </c>
    </row>
    <row r="13" spans="1:18" x14ac:dyDescent="0.25">
      <c r="A13" s="48" t="s">
        <v>20</v>
      </c>
      <c r="B13" s="48" t="s">
        <v>21</v>
      </c>
      <c r="C13" s="51">
        <v>50249834.020000003</v>
      </c>
      <c r="D13" s="51">
        <v>96587272.180000007</v>
      </c>
      <c r="E13" s="51">
        <v>47.97</v>
      </c>
      <c r="F13" s="51">
        <v>52.03</v>
      </c>
      <c r="G13" s="51">
        <v>46337438.159999996</v>
      </c>
      <c r="H13" s="5">
        <f>SUM(K13:R13)</f>
        <v>86063854.460000008</v>
      </c>
      <c r="K13" s="8">
        <f>'Fælles adm.'!H14</f>
        <v>2244892.5</v>
      </c>
      <c r="L13" s="8">
        <f>Odense!H14</f>
        <v>27847482.334952131</v>
      </c>
      <c r="M13" s="8">
        <f>Laks!H14</f>
        <v>3247833</v>
      </c>
      <c r="N13" s="8">
        <f>Assens!H14</f>
        <v>10717254.971931204</v>
      </c>
      <c r="O13" s="8">
        <f>Nyborg!H14</f>
        <v>9476260.9556021392</v>
      </c>
      <c r="P13" s="8">
        <f>Nordfyn!H14</f>
        <v>11310094.36221312</v>
      </c>
      <c r="Q13" s="8">
        <f>Kerteminde!H14</f>
        <v>11135903.965301402</v>
      </c>
      <c r="R13" s="8">
        <f>'Særlige tilskud'!H14</f>
        <v>10084132.370000001</v>
      </c>
    </row>
    <row r="14" spans="1:18" x14ac:dyDescent="0.25">
      <c r="A14" s="47" t="s">
        <v>12</v>
      </c>
      <c r="B14" s="47" t="s">
        <v>12</v>
      </c>
      <c r="H14" s="53"/>
      <c r="K14" s="57"/>
      <c r="L14" s="57"/>
      <c r="M14" s="57"/>
      <c r="N14" s="57"/>
      <c r="O14" s="57"/>
      <c r="P14" s="57"/>
      <c r="Q14" s="57"/>
      <c r="R14" s="57"/>
    </row>
    <row r="15" spans="1:18" x14ac:dyDescent="0.25">
      <c r="A15" s="48" t="s">
        <v>12</v>
      </c>
      <c r="B15" s="48" t="s">
        <v>32</v>
      </c>
      <c r="C15" s="51"/>
      <c r="D15" s="51"/>
      <c r="E15" s="51"/>
      <c r="F15" s="51"/>
      <c r="G15" s="51"/>
      <c r="H15" s="5"/>
      <c r="K15" s="8"/>
      <c r="L15" s="8"/>
      <c r="M15" s="8"/>
      <c r="N15" s="8"/>
      <c r="O15" s="8"/>
      <c r="P15" s="8"/>
      <c r="Q15" s="8"/>
      <c r="R15" s="8"/>
    </row>
    <row r="16" spans="1:18" x14ac:dyDescent="0.25">
      <c r="A16" s="47" t="s">
        <v>23</v>
      </c>
      <c r="B16" s="47" t="s">
        <v>24</v>
      </c>
      <c r="H16" s="53">
        <f>SUM(K16:R16)</f>
        <v>0</v>
      </c>
      <c r="K16" s="57">
        <f>'Fælles adm.'!H17</f>
        <v>0</v>
      </c>
      <c r="L16" s="57">
        <f>Odense!H17</f>
        <v>0</v>
      </c>
      <c r="M16" s="57">
        <f>Laks!H17</f>
        <v>0</v>
      </c>
      <c r="N16" s="57">
        <f>Assens!H17</f>
        <v>0</v>
      </c>
      <c r="O16" s="57">
        <f>Nyborg!H17</f>
        <v>0</v>
      </c>
      <c r="P16" s="57">
        <f>Nordfyn!H17</f>
        <v>0</v>
      </c>
      <c r="Q16" s="57">
        <f>Kerteminde!H17</f>
        <v>0</v>
      </c>
      <c r="R16" s="57">
        <f>'Særlige tilskud'!H17</f>
        <v>0</v>
      </c>
    </row>
    <row r="17" spans="1:18" x14ac:dyDescent="0.25">
      <c r="A17" s="47" t="s">
        <v>25</v>
      </c>
      <c r="B17" s="47" t="s">
        <v>26</v>
      </c>
      <c r="C17" s="50">
        <v>-459230.14</v>
      </c>
      <c r="D17" s="50">
        <v>-1051606</v>
      </c>
      <c r="E17" s="50">
        <v>56.33</v>
      </c>
      <c r="F17" s="50">
        <v>43.67</v>
      </c>
      <c r="G17" s="50">
        <v>-592375.86</v>
      </c>
      <c r="H17" s="53">
        <f>SUM(K17:R17)</f>
        <v>-862265.81</v>
      </c>
      <c r="K17" s="57">
        <f>'Fælles adm.'!H18</f>
        <v>-11383.84</v>
      </c>
      <c r="L17" s="57">
        <f>Odense!H18</f>
        <v>-13544.869999999999</v>
      </c>
      <c r="M17" s="57">
        <f>Laks!H18</f>
        <v>-5496.4</v>
      </c>
      <c r="N17" s="57">
        <f>Assens!H18</f>
        <v>-168399.45</v>
      </c>
      <c r="O17" s="57">
        <f>Nyborg!H18</f>
        <v>-166854.25</v>
      </c>
      <c r="P17" s="57">
        <f>Nordfyn!H18</f>
        <v>-313327</v>
      </c>
      <c r="Q17" s="57">
        <f>Kerteminde!H18</f>
        <v>-183260</v>
      </c>
      <c r="R17" s="57">
        <f>'Særlige tilskud'!H18</f>
        <v>0</v>
      </c>
    </row>
    <row r="18" spans="1:18" x14ac:dyDescent="0.25">
      <c r="A18" s="47" t="s">
        <v>27</v>
      </c>
      <c r="B18" s="47" t="s">
        <v>28</v>
      </c>
      <c r="H18" s="53"/>
      <c r="K18" s="57">
        <f>'Fælles adm.'!H19</f>
        <v>0</v>
      </c>
      <c r="L18" s="57">
        <f>Odense!H19</f>
        <v>0</v>
      </c>
      <c r="M18" s="57">
        <f>Laks!H19</f>
        <v>0</v>
      </c>
      <c r="N18" s="57">
        <f>Assens!H19</f>
        <v>0</v>
      </c>
      <c r="O18" s="57">
        <f>Nyborg!H19</f>
        <v>0</v>
      </c>
      <c r="P18" s="57">
        <f>Nordfyn!H19</f>
        <v>0</v>
      </c>
      <c r="Q18" s="57">
        <f>Kerteminde!H19</f>
        <v>0</v>
      </c>
      <c r="R18" s="57">
        <f>'Særlige tilskud'!H19</f>
        <v>0</v>
      </c>
    </row>
    <row r="19" spans="1:18" x14ac:dyDescent="0.25">
      <c r="A19" s="47" t="s">
        <v>12</v>
      </c>
      <c r="B19" s="47" t="s">
        <v>12</v>
      </c>
      <c r="H19" s="53"/>
      <c r="K19" s="57"/>
      <c r="L19" s="57"/>
      <c r="M19" s="57"/>
      <c r="N19" s="57"/>
      <c r="O19" s="57"/>
      <c r="P19" s="57"/>
      <c r="Q19" s="57"/>
      <c r="R19" s="57"/>
    </row>
    <row r="20" spans="1:18" x14ac:dyDescent="0.25">
      <c r="A20" s="47" t="s">
        <v>29</v>
      </c>
      <c r="B20" s="47" t="s">
        <v>30</v>
      </c>
      <c r="C20" s="50">
        <v>-33063795.859999999</v>
      </c>
      <c r="D20" s="50">
        <v>-66770111.689999998</v>
      </c>
      <c r="E20" s="50">
        <v>50.48</v>
      </c>
      <c r="F20" s="50">
        <v>49.52</v>
      </c>
      <c r="G20" s="50">
        <v>-33706315.829999998</v>
      </c>
      <c r="H20" s="53">
        <f>SUM(K20:R20)</f>
        <v>-60585770.510000005</v>
      </c>
      <c r="K20" s="57">
        <f>'Fælles adm.'!H21</f>
        <v>-6242881.2000000011</v>
      </c>
      <c r="L20" s="57">
        <f>Odense!H21</f>
        <v>-20640258.600000001</v>
      </c>
      <c r="M20" s="57">
        <f>Laks!H21</f>
        <v>-1604499.3900000001</v>
      </c>
      <c r="N20" s="57">
        <f>Assens!H21</f>
        <v>-6770322.7699999996</v>
      </c>
      <c r="O20" s="57">
        <f>Nyborg!H21</f>
        <v>-6986596</v>
      </c>
      <c r="P20" s="57">
        <f>Nordfyn!H21</f>
        <v>-8938567.5999999996</v>
      </c>
      <c r="Q20" s="57">
        <f>Kerteminde!H21</f>
        <v>-9402644.9499999993</v>
      </c>
      <c r="R20" s="57">
        <f>'Særlige tilskud'!H21</f>
        <v>0</v>
      </c>
    </row>
    <row r="21" spans="1:18" x14ac:dyDescent="0.25">
      <c r="A21" s="48" t="s">
        <v>31</v>
      </c>
      <c r="B21" s="48" t="s">
        <v>32</v>
      </c>
      <c r="C21" s="51">
        <v>-33523026</v>
      </c>
      <c r="D21" s="51">
        <v>-67821717.689999998</v>
      </c>
      <c r="E21" s="51">
        <v>50.57</v>
      </c>
      <c r="F21" s="51">
        <v>49.43</v>
      </c>
      <c r="G21" s="51">
        <v>-34298691.689999998</v>
      </c>
      <c r="H21" s="5">
        <f>SUM(K21:R21)</f>
        <v>-60585770.510000005</v>
      </c>
      <c r="K21" s="8">
        <f>'Fælles adm.'!H22</f>
        <v>-6242881.2000000011</v>
      </c>
      <c r="L21" s="8">
        <f>Odense!H22</f>
        <v>-20640258.600000001</v>
      </c>
      <c r="M21" s="8">
        <f>Laks!H22</f>
        <v>-1604499.3900000001</v>
      </c>
      <c r="N21" s="8">
        <f>Assens!H22</f>
        <v>-6770322.7699999996</v>
      </c>
      <c r="O21" s="8">
        <f>Nyborg!H22</f>
        <v>-6986596</v>
      </c>
      <c r="P21" s="8">
        <f>Nordfyn!H22</f>
        <v>-8938567.5999999996</v>
      </c>
      <c r="Q21" s="8">
        <f>Kerteminde!H22</f>
        <v>-9402644.9499999993</v>
      </c>
      <c r="R21" s="8">
        <f>'Særlige tilskud'!H22</f>
        <v>0</v>
      </c>
    </row>
    <row r="22" spans="1:18" x14ac:dyDescent="0.25">
      <c r="A22" s="47" t="s">
        <v>12</v>
      </c>
      <c r="B22" s="47" t="s">
        <v>12</v>
      </c>
      <c r="H22" s="53"/>
      <c r="K22" s="57"/>
      <c r="L22" s="57"/>
      <c r="M22" s="57"/>
      <c r="N22" s="57"/>
      <c r="O22" s="57"/>
      <c r="P22" s="57"/>
      <c r="Q22" s="57"/>
      <c r="R22" s="57"/>
    </row>
    <row r="23" spans="1:18" x14ac:dyDescent="0.25">
      <c r="A23" s="47" t="s">
        <v>33</v>
      </c>
      <c r="B23" s="47" t="s">
        <v>34</v>
      </c>
      <c r="C23" s="50">
        <v>1186063.17</v>
      </c>
      <c r="D23" s="50">
        <v>813348.36</v>
      </c>
      <c r="E23" s="50">
        <v>-45.82</v>
      </c>
      <c r="F23" s="50">
        <v>145.82</v>
      </c>
      <c r="G23" s="50">
        <v>-372714.81</v>
      </c>
      <c r="H23" s="53">
        <f>SUM(K23:R23)</f>
        <v>1698661.9</v>
      </c>
      <c r="K23" s="57">
        <f>'Fælles adm.'!H24</f>
        <v>1109108.25</v>
      </c>
      <c r="L23" s="57">
        <f>Odense!H24</f>
        <v>186381.36</v>
      </c>
      <c r="M23" s="57">
        <f>Laks!H24</f>
        <v>0</v>
      </c>
      <c r="N23" s="57">
        <f>Assens!H24</f>
        <v>116100</v>
      </c>
      <c r="O23" s="57">
        <f>Nyborg!H24</f>
        <v>56748.84</v>
      </c>
      <c r="P23" s="57">
        <f>Nordfyn!H24</f>
        <v>124775.62</v>
      </c>
      <c r="Q23" s="57">
        <f>Kerteminde!H24</f>
        <v>105547.83</v>
      </c>
      <c r="R23" s="57">
        <f>'Særlige tilskud'!H24</f>
        <v>0</v>
      </c>
    </row>
    <row r="24" spans="1:18" x14ac:dyDescent="0.25">
      <c r="A24" s="47" t="s">
        <v>35</v>
      </c>
      <c r="B24" s="47" t="s">
        <v>36</v>
      </c>
      <c r="C24" s="50">
        <v>-9145002.5</v>
      </c>
      <c r="D24" s="50">
        <v>-30277905.449999999</v>
      </c>
      <c r="E24" s="50">
        <v>69.8</v>
      </c>
      <c r="F24" s="50">
        <v>30.2</v>
      </c>
      <c r="G24" s="50">
        <v>-21132902.949999999</v>
      </c>
      <c r="H24" s="53">
        <f>SUM(K24:R24)</f>
        <v>-28864549.32</v>
      </c>
      <c r="K24" s="57">
        <f>'Fælles adm.'!H25</f>
        <v>2910951.8299999977</v>
      </c>
      <c r="L24" s="57">
        <f>Odense!H25</f>
        <v>-9840222.4541999996</v>
      </c>
      <c r="M24" s="57">
        <f>Laks!H25</f>
        <v>-1917458.9699999997</v>
      </c>
      <c r="N24" s="57">
        <f>Assens!H25</f>
        <v>-3693698.4315999998</v>
      </c>
      <c r="O24" s="57">
        <f>Nyborg!H25</f>
        <v>-3278894.1409999994</v>
      </c>
      <c r="P24" s="57">
        <f>Nordfyn!H25</f>
        <v>-3779107.4809999992</v>
      </c>
      <c r="Q24" s="57">
        <f>Kerteminde!H25</f>
        <v>-3896119.6721999999</v>
      </c>
      <c r="R24" s="57">
        <f>'Særlige tilskud'!H25</f>
        <v>-5370000</v>
      </c>
    </row>
    <row r="25" spans="1:18" x14ac:dyDescent="0.25">
      <c r="A25" s="47" t="s">
        <v>37</v>
      </c>
      <c r="B25" s="47" t="s">
        <v>38</v>
      </c>
      <c r="C25" s="50">
        <v>-1246.72</v>
      </c>
      <c r="D25" s="50">
        <v>42000</v>
      </c>
      <c r="E25" s="50">
        <v>102.97</v>
      </c>
      <c r="F25" s="50">
        <v>-2.97</v>
      </c>
      <c r="G25" s="50">
        <v>43246.720000000001</v>
      </c>
      <c r="H25" s="53">
        <f>SUM(K25:R25)</f>
        <v>-246.72000000000003</v>
      </c>
      <c r="K25" s="57">
        <f>'Fælles adm.'!H26</f>
        <v>418.28</v>
      </c>
      <c r="L25" s="57">
        <f>Odense!H26</f>
        <v>-1665</v>
      </c>
      <c r="M25" s="57">
        <f>Laks!H26</f>
        <v>0</v>
      </c>
      <c r="N25" s="57">
        <f>Assens!H26</f>
        <v>1000</v>
      </c>
      <c r="O25" s="57">
        <f>Nyborg!H26</f>
        <v>0</v>
      </c>
      <c r="P25" s="57">
        <f>Nordfyn!H26</f>
        <v>0</v>
      </c>
      <c r="Q25" s="57">
        <f>Kerteminde!H26</f>
        <v>0</v>
      </c>
      <c r="R25" s="57">
        <f>'Særlige tilskud'!H26</f>
        <v>0</v>
      </c>
    </row>
    <row r="26" spans="1:18" x14ac:dyDescent="0.25">
      <c r="A26" s="47" t="s">
        <v>39</v>
      </c>
      <c r="B26" s="47" t="s">
        <v>40</v>
      </c>
      <c r="C26" s="50">
        <v>-131604.32999999999</v>
      </c>
      <c r="D26" s="50">
        <v>-463483.58</v>
      </c>
      <c r="E26" s="50">
        <v>71.61</v>
      </c>
      <c r="F26" s="50">
        <v>28.39</v>
      </c>
      <c r="G26" s="50">
        <v>-331879.25</v>
      </c>
      <c r="H26" s="53">
        <f>SUM(K26:R26)</f>
        <v>-300983.01</v>
      </c>
      <c r="K26" s="57">
        <f>'Fælles adm.'!H27</f>
        <v>-11105.82</v>
      </c>
      <c r="L26" s="57">
        <f>Odense!H27</f>
        <v>-2563.59</v>
      </c>
      <c r="M26" s="57">
        <f>Laks!H27</f>
        <v>0</v>
      </c>
      <c r="N26" s="57">
        <f>Assens!H27</f>
        <v>-1934.01</v>
      </c>
      <c r="O26" s="57">
        <f>Nyborg!H27</f>
        <v>-313.33</v>
      </c>
      <c r="P26" s="57">
        <f>Nordfyn!H27</f>
        <v>-34150.230000000003</v>
      </c>
      <c r="Q26" s="57">
        <f>Kerteminde!H27</f>
        <v>-250916.03</v>
      </c>
      <c r="R26" s="57">
        <f>'Særlige tilskud'!H27</f>
        <v>0</v>
      </c>
    </row>
    <row r="27" spans="1:18" x14ac:dyDescent="0.25">
      <c r="A27" s="47" t="s">
        <v>41</v>
      </c>
      <c r="B27" s="47" t="s">
        <v>42</v>
      </c>
      <c r="H27" s="53"/>
      <c r="K27" s="57">
        <f>'Fælles adm.'!H28</f>
        <v>0</v>
      </c>
      <c r="L27" s="57">
        <f>Odense!H28</f>
        <v>0</v>
      </c>
      <c r="M27" s="57">
        <f>Laks!H28</f>
        <v>0</v>
      </c>
      <c r="N27" s="57">
        <f>Assens!H28</f>
        <v>0</v>
      </c>
      <c r="O27" s="57">
        <f>Nyborg!H28</f>
        <v>0</v>
      </c>
      <c r="P27" s="57">
        <f>Nordfyn!H28</f>
        <v>0</v>
      </c>
      <c r="Q27" s="57">
        <f>Kerteminde!H28</f>
        <v>0</v>
      </c>
      <c r="R27" s="57">
        <f>'Særlige tilskud'!H28</f>
        <v>0</v>
      </c>
    </row>
    <row r="28" spans="1:18" x14ac:dyDescent="0.25">
      <c r="A28" s="47" t="s">
        <v>43</v>
      </c>
      <c r="B28" s="47" t="s">
        <v>44</v>
      </c>
      <c r="H28" s="53"/>
      <c r="K28" s="57">
        <f>'Fælles adm.'!H29</f>
        <v>0</v>
      </c>
      <c r="L28" s="57">
        <f>Odense!H29</f>
        <v>0</v>
      </c>
      <c r="M28" s="57">
        <f>Laks!H29</f>
        <v>0</v>
      </c>
      <c r="N28" s="57">
        <f>Assens!H29</f>
        <v>0</v>
      </c>
      <c r="O28" s="57">
        <f>Nyborg!H29</f>
        <v>0</v>
      </c>
      <c r="P28" s="57">
        <f>Nordfyn!H29</f>
        <v>0</v>
      </c>
      <c r="Q28" s="57">
        <f>Kerteminde!H29</f>
        <v>0</v>
      </c>
      <c r="R28" s="57">
        <f>'Særlige tilskud'!H29</f>
        <v>0</v>
      </c>
    </row>
    <row r="29" spans="1:18" x14ac:dyDescent="0.25">
      <c r="A29" s="47" t="s">
        <v>12</v>
      </c>
      <c r="B29" s="47" t="s">
        <v>12</v>
      </c>
      <c r="H29" s="53"/>
      <c r="K29" s="57"/>
      <c r="L29" s="57"/>
      <c r="M29" s="57"/>
      <c r="N29" s="57"/>
      <c r="O29" s="57"/>
      <c r="P29" s="57"/>
      <c r="Q29" s="57"/>
      <c r="R29" s="57"/>
    </row>
    <row r="30" spans="1:18" ht="15.75" thickBot="1" x14ac:dyDescent="0.3">
      <c r="A30" s="49" t="s">
        <v>45</v>
      </c>
      <c r="B30" s="49" t="s">
        <v>46</v>
      </c>
      <c r="C30" s="52">
        <v>8635017.6400000006</v>
      </c>
      <c r="D30" s="52">
        <v>-1120486.18</v>
      </c>
      <c r="E30" s="52">
        <v>870.65</v>
      </c>
      <c r="F30" s="52">
        <v>-770.65</v>
      </c>
      <c r="G30" s="52">
        <v>-9755503.8200000003</v>
      </c>
      <c r="H30" s="6">
        <f>SUM(K30:R30)</f>
        <v>-2851299.0100000035</v>
      </c>
      <c r="K30" s="9">
        <f>'Fælles adm.'!H31</f>
        <v>-3.2214302336797118E-9</v>
      </c>
      <c r="L30" s="9">
        <f>Odense!H31</f>
        <v>-2464390.8192478707</v>
      </c>
      <c r="M30" s="9">
        <f>Laks!H31</f>
        <v>-279621.75999999978</v>
      </c>
      <c r="N30" s="9">
        <f>Assens!H31</f>
        <v>200000.3103312056</v>
      </c>
      <c r="O30" s="9">
        <f>Nyborg!H31</f>
        <v>-899647.92539786024</v>
      </c>
      <c r="P30" s="9">
        <f>Nordfyn!H31</f>
        <v>-1630282.3287868788</v>
      </c>
      <c r="Q30" s="9">
        <f>Kerteminde!H31</f>
        <v>-2491488.856898597</v>
      </c>
      <c r="R30" s="9">
        <f>'Særlige tilskud'!H31</f>
        <v>4714132.370000001</v>
      </c>
    </row>
    <row r="31" spans="1:18" ht="15.75" thickTop="1" x14ac:dyDescent="0.25">
      <c r="A31" s="47" t="s">
        <v>12</v>
      </c>
      <c r="B31" s="47" t="s">
        <v>12</v>
      </c>
      <c r="H31" s="53"/>
      <c r="K31" s="57"/>
      <c r="L31" s="57"/>
      <c r="M31" s="57"/>
      <c r="N31" s="57"/>
      <c r="O31" s="57"/>
      <c r="P31" s="57"/>
      <c r="Q31" s="57"/>
      <c r="R31" s="57"/>
    </row>
    <row r="32" spans="1:18" x14ac:dyDescent="0.25">
      <c r="A32" s="47" t="s">
        <v>47</v>
      </c>
      <c r="B32" s="47" t="s">
        <v>48</v>
      </c>
      <c r="C32" s="50">
        <v>-1533418.31</v>
      </c>
      <c r="D32" s="50">
        <v>-3644077.35</v>
      </c>
      <c r="E32" s="50">
        <v>57.92</v>
      </c>
      <c r="F32" s="50">
        <v>42.08</v>
      </c>
      <c r="G32" s="50">
        <v>-2110659.04</v>
      </c>
      <c r="H32" s="53">
        <f>SUM(K32:R32)</f>
        <v>-3146560.6999999997</v>
      </c>
      <c r="K32" s="57">
        <f>'Fælles adm.'!H33</f>
        <v>0</v>
      </c>
      <c r="L32" s="57">
        <f>Odense!H33</f>
        <v>-1219411.71</v>
      </c>
      <c r="M32" s="57">
        <f>Laks!H33</f>
        <v>-19547.330000000002</v>
      </c>
      <c r="N32" s="57">
        <f>Assens!H33</f>
        <v>-380594.32</v>
      </c>
      <c r="O32" s="57">
        <f>Nyborg!H33</f>
        <v>-142681.26999999999</v>
      </c>
      <c r="P32" s="57">
        <f>Nordfyn!H33</f>
        <v>-460093.5</v>
      </c>
      <c r="Q32" s="57">
        <f>Kerteminde!H33</f>
        <v>-924232.57</v>
      </c>
      <c r="R32" s="57">
        <f>'Særlige tilskud'!H33</f>
        <v>0</v>
      </c>
    </row>
    <row r="33" spans="1:18" x14ac:dyDescent="0.25">
      <c r="A33" s="47" t="s">
        <v>12</v>
      </c>
      <c r="B33" s="47" t="s">
        <v>12</v>
      </c>
      <c r="H33" s="53"/>
      <c r="K33" s="57"/>
      <c r="L33" s="57"/>
      <c r="M33" s="57"/>
      <c r="N33" s="57"/>
      <c r="O33" s="57"/>
      <c r="P33" s="57"/>
      <c r="Q33" s="57"/>
      <c r="R33" s="57"/>
    </row>
    <row r="34" spans="1:18" ht="15.75" thickBot="1" x14ac:dyDescent="0.3">
      <c r="A34" s="49" t="s">
        <v>12</v>
      </c>
      <c r="B34" s="49" t="s">
        <v>49</v>
      </c>
      <c r="C34" s="52">
        <v>7101599.3300000001</v>
      </c>
      <c r="D34" s="52">
        <v>-4764563.53</v>
      </c>
      <c r="E34" s="52">
        <v>249.05</v>
      </c>
      <c r="F34" s="52">
        <v>-149.05000000000001</v>
      </c>
      <c r="G34" s="52">
        <v>-11866162.859999999</v>
      </c>
      <c r="H34" s="6">
        <f>SUM(K34:R34)</f>
        <v>-5997859.7100000028</v>
      </c>
      <c r="K34" s="9">
        <f>'Fælles adm.'!H35</f>
        <v>-3.2214302336797118E-9</v>
      </c>
      <c r="L34" s="9">
        <f>Odense!H35</f>
        <v>-3683802.5292478707</v>
      </c>
      <c r="M34" s="9">
        <f>Laks!H35</f>
        <v>-299169.08999999979</v>
      </c>
      <c r="N34" s="9">
        <f>Assens!H35</f>
        <v>-180594.0096687944</v>
      </c>
      <c r="O34" s="9">
        <f>Nyborg!H35</f>
        <v>-1042329.1953978603</v>
      </c>
      <c r="P34" s="9">
        <f>Nordfyn!H35</f>
        <v>-2090375.8287868788</v>
      </c>
      <c r="Q34" s="9">
        <f>Kerteminde!H35</f>
        <v>-3415721.4268985968</v>
      </c>
      <c r="R34" s="9">
        <f>'Særlige tilskud'!H35</f>
        <v>4714132.370000001</v>
      </c>
    </row>
    <row r="35" spans="1:18" ht="15.75" thickTop="1" x14ac:dyDescent="0.25">
      <c r="A35" s="47" t="s">
        <v>12</v>
      </c>
      <c r="B35" s="47" t="s">
        <v>12</v>
      </c>
      <c r="H35" s="53"/>
      <c r="K35" s="57"/>
      <c r="L35" s="57"/>
      <c r="M35" s="57"/>
      <c r="N35" s="57"/>
      <c r="O35" s="57"/>
      <c r="P35" s="57"/>
      <c r="Q35" s="57"/>
      <c r="R35" s="57"/>
    </row>
    <row r="36" spans="1:18" x14ac:dyDescent="0.25">
      <c r="A36" s="48" t="s">
        <v>12</v>
      </c>
      <c r="B36" s="48" t="s">
        <v>50</v>
      </c>
      <c r="C36" s="51"/>
      <c r="D36" s="51"/>
      <c r="E36" s="51"/>
      <c r="F36" s="51"/>
      <c r="G36" s="51"/>
      <c r="H36" s="5">
        <f>H34-H244</f>
        <v>0</v>
      </c>
      <c r="K36" s="5">
        <f t="shared" ref="K36:R36" si="0">K34-K244</f>
        <v>-3.2214302336797118E-9</v>
      </c>
      <c r="L36" s="5">
        <f t="shared" si="0"/>
        <v>0</v>
      </c>
      <c r="M36" s="5">
        <f t="shared" si="0"/>
        <v>0</v>
      </c>
      <c r="N36" s="5">
        <f t="shared" si="0"/>
        <v>6.9849193096160889E-10</v>
      </c>
      <c r="O36" s="5">
        <f t="shared" si="0"/>
        <v>0</v>
      </c>
      <c r="P36" s="5">
        <f t="shared" si="0"/>
        <v>0</v>
      </c>
      <c r="Q36" s="5">
        <f t="shared" si="0"/>
        <v>0</v>
      </c>
      <c r="R36" s="5">
        <f t="shared" si="0"/>
        <v>0</v>
      </c>
    </row>
    <row r="37" spans="1:18" s="45" customFormat="1" x14ac:dyDescent="0.25">
      <c r="A37" s="48"/>
      <c r="B37" s="48"/>
      <c r="C37" s="51"/>
      <c r="D37" s="51"/>
      <c r="E37" s="51"/>
      <c r="F37" s="51"/>
      <c r="G37" s="51"/>
      <c r="H37" s="5"/>
      <c r="K37" s="57"/>
      <c r="L37" s="57"/>
      <c r="M37" s="57"/>
      <c r="N37" s="57"/>
      <c r="O37" s="57"/>
      <c r="P37" s="57"/>
      <c r="Q37" s="57"/>
      <c r="R37" s="57"/>
    </row>
    <row r="38" spans="1:18" x14ac:dyDescent="0.25">
      <c r="A38" s="48" t="s">
        <v>51</v>
      </c>
      <c r="B38" s="48" t="s">
        <v>52</v>
      </c>
      <c r="C38" s="51"/>
      <c r="D38" s="51"/>
      <c r="E38" s="51"/>
      <c r="F38" s="51"/>
      <c r="G38" s="51"/>
      <c r="H38" s="5"/>
      <c r="K38" s="57"/>
      <c r="L38" s="57"/>
      <c r="M38" s="57"/>
      <c r="N38" s="57"/>
      <c r="O38" s="57"/>
      <c r="P38" s="57"/>
      <c r="Q38" s="57"/>
      <c r="R38" s="57"/>
    </row>
    <row r="39" spans="1:18" x14ac:dyDescent="0.25">
      <c r="A39" s="47" t="s">
        <v>53</v>
      </c>
      <c r="B39" s="47" t="s">
        <v>54</v>
      </c>
      <c r="C39" s="50">
        <v>28865159.129999999</v>
      </c>
      <c r="D39" s="50">
        <v>64739024.600000001</v>
      </c>
      <c r="E39" s="50">
        <v>55.41</v>
      </c>
      <c r="F39" s="50">
        <v>44.59</v>
      </c>
      <c r="G39" s="50">
        <v>35873865.469999999</v>
      </c>
      <c r="H39" s="54">
        <f t="shared" ref="H39:H45" si="1">SUM(K39:R39)</f>
        <v>55873421.189999998</v>
      </c>
      <c r="K39" s="59">
        <f>'Fælles adm.'!H40</f>
        <v>0</v>
      </c>
      <c r="L39" s="59">
        <f>Odense!H40</f>
        <v>23855836.665381402</v>
      </c>
      <c r="M39" s="59">
        <f>Laks!H40</f>
        <v>0</v>
      </c>
      <c r="N39" s="59">
        <f>Assens!H40</f>
        <v>7833075.8423545929</v>
      </c>
      <c r="O39" s="59">
        <f>Nyborg!H40</f>
        <v>7175731.8085893895</v>
      </c>
      <c r="P39" s="59">
        <f>Nordfyn!H40</f>
        <v>8436188.9933341667</v>
      </c>
      <c r="Q39" s="59">
        <f>Kerteminde!H40</f>
        <v>8572587.8803404458</v>
      </c>
      <c r="R39" s="59">
        <f>'Særlige tilskud'!H40</f>
        <v>0</v>
      </c>
    </row>
    <row r="40" spans="1:18" x14ac:dyDescent="0.25">
      <c r="A40" s="47" t="s">
        <v>55</v>
      </c>
      <c r="B40" s="47" t="s">
        <v>56</v>
      </c>
      <c r="C40" s="50">
        <v>60595.199999999997</v>
      </c>
      <c r="D40" s="50">
        <v>3691120</v>
      </c>
      <c r="E40" s="50">
        <v>98.36</v>
      </c>
      <c r="F40" s="50">
        <v>1.64</v>
      </c>
      <c r="G40" s="50">
        <v>3630524.8</v>
      </c>
      <c r="H40" s="54">
        <f t="shared" si="1"/>
        <v>1300000</v>
      </c>
      <c r="K40" s="59">
        <f>'Fælles adm.'!H41</f>
        <v>0</v>
      </c>
      <c r="L40" s="59">
        <f>Odense!H41</f>
        <v>555050.80957072892</v>
      </c>
      <c r="M40" s="59">
        <f>Laks!H41</f>
        <v>0</v>
      </c>
      <c r="N40" s="59">
        <f>Assens!H41</f>
        <v>182251.20957661141</v>
      </c>
      <c r="O40" s="59">
        <f>Nyborg!H41</f>
        <v>166956.86701275015</v>
      </c>
      <c r="P40" s="59">
        <f>Nordfyn!H41</f>
        <v>196283.76887895408</v>
      </c>
      <c r="Q40" s="59">
        <f>Kerteminde!H41</f>
        <v>199457.34496095532</v>
      </c>
      <c r="R40" s="59">
        <f>'Særlige tilskud'!H41</f>
        <v>0</v>
      </c>
    </row>
    <row r="41" spans="1:18" x14ac:dyDescent="0.25">
      <c r="A41" s="47" t="s">
        <v>57</v>
      </c>
      <c r="B41" s="47" t="s">
        <v>58</v>
      </c>
      <c r="C41" s="50">
        <v>107318.33</v>
      </c>
      <c r="G41" s="50">
        <v>-107318.33</v>
      </c>
      <c r="H41" s="54">
        <f t="shared" si="1"/>
        <v>0</v>
      </c>
      <c r="K41" s="59">
        <f>'Fælles adm.'!H42</f>
        <v>0</v>
      </c>
      <c r="L41" s="59">
        <f>Odense!H42</f>
        <v>0</v>
      </c>
      <c r="M41" s="59">
        <f>Laks!H42</f>
        <v>0</v>
      </c>
      <c r="N41" s="59">
        <f>Assens!H42</f>
        <v>0</v>
      </c>
      <c r="O41" s="59">
        <f>Nyborg!H42</f>
        <v>0</v>
      </c>
      <c r="P41" s="59">
        <f>Nordfyn!H42</f>
        <v>0</v>
      </c>
      <c r="Q41" s="59">
        <f>Kerteminde!H42</f>
        <v>0</v>
      </c>
      <c r="R41" s="59">
        <f>'Særlige tilskud'!H42</f>
        <v>0</v>
      </c>
    </row>
    <row r="42" spans="1:18" x14ac:dyDescent="0.25">
      <c r="A42" s="47" t="s">
        <v>59</v>
      </c>
      <c r="B42" s="47" t="s">
        <v>60</v>
      </c>
      <c r="C42" s="50">
        <v>9595.9500000000007</v>
      </c>
      <c r="D42" s="50">
        <v>87235.91</v>
      </c>
      <c r="E42" s="50">
        <v>89</v>
      </c>
      <c r="F42" s="50">
        <v>11</v>
      </c>
      <c r="G42" s="50">
        <v>77639.960000000006</v>
      </c>
      <c r="H42" s="54">
        <f t="shared" si="1"/>
        <v>0</v>
      </c>
      <c r="K42" s="59">
        <f>'Fælles adm.'!H43</f>
        <v>0</v>
      </c>
      <c r="L42" s="59">
        <f>Odense!H43</f>
        <v>0</v>
      </c>
      <c r="M42" s="59">
        <f>Laks!H43</f>
        <v>0</v>
      </c>
      <c r="N42" s="59">
        <f>Assens!H43</f>
        <v>0</v>
      </c>
      <c r="O42" s="59">
        <f>Nyborg!H43</f>
        <v>0</v>
      </c>
      <c r="P42" s="59">
        <f>Nordfyn!H43</f>
        <v>0</v>
      </c>
      <c r="Q42" s="59">
        <f>Kerteminde!H43</f>
        <v>0</v>
      </c>
      <c r="R42" s="59">
        <f>'Særlige tilskud'!H43</f>
        <v>0</v>
      </c>
    </row>
    <row r="43" spans="1:18" x14ac:dyDescent="0.25">
      <c r="A43" s="47" t="s">
        <v>61</v>
      </c>
      <c r="B43" s="47" t="s">
        <v>62</v>
      </c>
      <c r="C43" s="50">
        <v>5516975</v>
      </c>
      <c r="D43" s="50">
        <v>11033950</v>
      </c>
      <c r="E43" s="50">
        <v>50</v>
      </c>
      <c r="F43" s="50">
        <v>50</v>
      </c>
      <c r="G43" s="50">
        <v>5516975</v>
      </c>
      <c r="H43" s="54">
        <f t="shared" si="1"/>
        <v>11033950</v>
      </c>
      <c r="K43" s="59">
        <f>'Fælles adm.'!H44</f>
        <v>2226850</v>
      </c>
      <c r="L43" s="59">
        <f>Odense!H44</f>
        <v>1761420</v>
      </c>
      <c r="M43" s="59">
        <f>Laks!H44</f>
        <v>0</v>
      </c>
      <c r="N43" s="59">
        <f>Assens!H44</f>
        <v>1761420</v>
      </c>
      <c r="O43" s="59">
        <f>Nyborg!H44</f>
        <v>1761420</v>
      </c>
      <c r="P43" s="59">
        <f>Nordfyn!H44</f>
        <v>1761420</v>
      </c>
      <c r="Q43" s="59">
        <f>Kerteminde!H44</f>
        <v>1761420</v>
      </c>
      <c r="R43" s="59">
        <f>'Særlige tilskud'!H44</f>
        <v>0</v>
      </c>
    </row>
    <row r="44" spans="1:18" x14ac:dyDescent="0.25">
      <c r="A44" s="47" t="s">
        <v>63</v>
      </c>
      <c r="B44" s="47" t="s">
        <v>64</v>
      </c>
      <c r="C44" s="50">
        <v>12016817.16</v>
      </c>
      <c r="D44" s="50">
        <v>11396646</v>
      </c>
      <c r="E44" s="50">
        <v>-5.44</v>
      </c>
      <c r="F44" s="50">
        <v>105.44</v>
      </c>
      <c r="G44" s="50">
        <v>-620171.16</v>
      </c>
      <c r="H44" s="54">
        <f t="shared" si="1"/>
        <v>10612902.510000002</v>
      </c>
      <c r="K44" s="57"/>
      <c r="L44" s="57">
        <f>Odense!H45</f>
        <v>528770.14</v>
      </c>
      <c r="M44" s="57"/>
      <c r="N44" s="57"/>
      <c r="O44" s="57"/>
      <c r="P44" s="57"/>
      <c r="Q44" s="57"/>
      <c r="R44" s="59">
        <f>'Særlige tilskud'!H45</f>
        <v>10084132.370000001</v>
      </c>
    </row>
    <row r="45" spans="1:18" x14ac:dyDescent="0.25">
      <c r="A45" s="48" t="s">
        <v>65</v>
      </c>
      <c r="B45" s="48" t="s">
        <v>66</v>
      </c>
      <c r="C45" s="51">
        <v>46576460.770000003</v>
      </c>
      <c r="D45" s="51">
        <v>90947976.510000005</v>
      </c>
      <c r="E45" s="51">
        <v>48.79</v>
      </c>
      <c r="F45" s="51">
        <v>51.21</v>
      </c>
      <c r="G45" s="51">
        <v>44371515.740000002</v>
      </c>
      <c r="H45" s="55">
        <f t="shared" si="1"/>
        <v>79521201.560000002</v>
      </c>
      <c r="K45" s="60">
        <f>'Fælles adm.'!H46</f>
        <v>2226850</v>
      </c>
      <c r="L45" s="60">
        <f>Odense!H46</f>
        <v>26701077.614952132</v>
      </c>
      <c r="M45" s="60">
        <f>Laks!H46</f>
        <v>0</v>
      </c>
      <c r="N45" s="60">
        <f>Assens!H46</f>
        <v>9948904.7719312049</v>
      </c>
      <c r="O45" s="60">
        <f>Nyborg!H46</f>
        <v>9288563.3756021392</v>
      </c>
      <c r="P45" s="60">
        <f>Nordfyn!H46</f>
        <v>10578347.462213119</v>
      </c>
      <c r="Q45" s="60">
        <f>Kerteminde!H46</f>
        <v>10693325.965301402</v>
      </c>
      <c r="R45" s="60">
        <f>'Særlige tilskud'!H46</f>
        <v>10084132.370000001</v>
      </c>
    </row>
    <row r="46" spans="1:18" x14ac:dyDescent="0.25">
      <c r="A46" s="47" t="s">
        <v>12</v>
      </c>
      <c r="B46" s="47" t="s">
        <v>12</v>
      </c>
      <c r="H46" s="54"/>
      <c r="K46" s="57"/>
      <c r="L46" s="57"/>
      <c r="M46" s="57"/>
      <c r="N46" s="57"/>
      <c r="O46" s="57"/>
      <c r="P46" s="57"/>
      <c r="Q46" s="57"/>
      <c r="R46" s="57"/>
    </row>
    <row r="47" spans="1:18" x14ac:dyDescent="0.25">
      <c r="A47" s="48" t="s">
        <v>67</v>
      </c>
      <c r="B47" s="48" t="s">
        <v>68</v>
      </c>
      <c r="C47" s="51"/>
      <c r="D47" s="51"/>
      <c r="E47" s="51"/>
      <c r="F47" s="51"/>
      <c r="G47" s="51"/>
      <c r="H47" s="55"/>
      <c r="K47" s="57"/>
      <c r="L47" s="57"/>
      <c r="M47" s="57"/>
      <c r="N47" s="57"/>
      <c r="O47" s="57"/>
      <c r="P47" s="57"/>
      <c r="Q47" s="57"/>
      <c r="R47" s="57"/>
    </row>
    <row r="48" spans="1:18" x14ac:dyDescent="0.25">
      <c r="A48" s="47" t="s">
        <v>69</v>
      </c>
      <c r="B48" s="47" t="s">
        <v>70</v>
      </c>
      <c r="H48" s="54"/>
      <c r="K48" s="59">
        <f>'Fælles adm.'!H49</f>
        <v>0</v>
      </c>
      <c r="L48" s="59">
        <f>Odense!H49</f>
        <v>0</v>
      </c>
      <c r="M48" s="59">
        <f>Laks!H49</f>
        <v>0</v>
      </c>
      <c r="N48" s="59">
        <f>Assens!H49</f>
        <v>0</v>
      </c>
      <c r="O48" s="59">
        <f>Nyborg!H49</f>
        <v>0</v>
      </c>
      <c r="P48" s="59">
        <f>Nordfyn!H49</f>
        <v>0</v>
      </c>
      <c r="Q48" s="59">
        <f>Kerteminde!H49</f>
        <v>0</v>
      </c>
      <c r="R48" s="59">
        <f>'Særlige tilskud'!H49</f>
        <v>0</v>
      </c>
    </row>
    <row r="49" spans="1:18" x14ac:dyDescent="0.25">
      <c r="A49" s="47" t="s">
        <v>71</v>
      </c>
      <c r="B49" s="47" t="s">
        <v>72</v>
      </c>
      <c r="C49" s="50">
        <v>115226.65</v>
      </c>
      <c r="G49" s="50">
        <v>-115226.65</v>
      </c>
      <c r="H49" s="54">
        <f t="shared" ref="H49:H58" si="2">SUM(K49:R49)</f>
        <v>162512.65</v>
      </c>
      <c r="K49" s="59">
        <f>'Fælles adm.'!H50</f>
        <v>0</v>
      </c>
      <c r="L49" s="59">
        <f>Odense!H50</f>
        <v>116939.12</v>
      </c>
      <c r="M49" s="59">
        <f>Laks!H50</f>
        <v>0</v>
      </c>
      <c r="N49" s="59">
        <f>Assens!H50</f>
        <v>15153.4</v>
      </c>
      <c r="O49" s="59">
        <f>Nyborg!H50</f>
        <v>12939.53</v>
      </c>
      <c r="P49" s="59">
        <f>Nordfyn!H50</f>
        <v>13045.4</v>
      </c>
      <c r="Q49" s="59">
        <f>Kerteminde!H50</f>
        <v>4435.2</v>
      </c>
      <c r="R49" s="59">
        <f>'Særlige tilskud'!H50</f>
        <v>0</v>
      </c>
    </row>
    <row r="50" spans="1:18" x14ac:dyDescent="0.25">
      <c r="A50" s="47" t="s">
        <v>73</v>
      </c>
      <c r="B50" s="47" t="s">
        <v>74</v>
      </c>
      <c r="D50" s="50">
        <v>301747</v>
      </c>
      <c r="E50" s="50">
        <v>100</v>
      </c>
      <c r="G50" s="50">
        <v>301747</v>
      </c>
      <c r="H50" s="54">
        <f t="shared" si="2"/>
        <v>0</v>
      </c>
      <c r="K50" s="59">
        <f>'Fælles adm.'!H51</f>
        <v>0</v>
      </c>
      <c r="L50" s="59">
        <f>Odense!H51</f>
        <v>0</v>
      </c>
      <c r="M50" s="59">
        <f>Laks!H51</f>
        <v>0</v>
      </c>
      <c r="N50" s="59">
        <f>Assens!H51</f>
        <v>0</v>
      </c>
      <c r="O50" s="59">
        <f>Nyborg!H51</f>
        <v>0</v>
      </c>
      <c r="P50" s="59">
        <f>Nordfyn!H51</f>
        <v>0</v>
      </c>
      <c r="Q50" s="59">
        <f>Kerteminde!H51</f>
        <v>0</v>
      </c>
      <c r="R50" s="59">
        <f>'Særlige tilskud'!H51</f>
        <v>0</v>
      </c>
    </row>
    <row r="51" spans="1:18" x14ac:dyDescent="0.25">
      <c r="A51" s="47" t="s">
        <v>75</v>
      </c>
      <c r="B51" s="47" t="s">
        <v>76</v>
      </c>
      <c r="C51" s="50">
        <v>151069.5</v>
      </c>
      <c r="G51" s="50">
        <v>-151069.5</v>
      </c>
      <c r="H51" s="54">
        <f t="shared" si="2"/>
        <v>151069.5</v>
      </c>
      <c r="K51" s="59">
        <f>'Fælles adm.'!H52</f>
        <v>0</v>
      </c>
      <c r="L51" s="59">
        <f>Odense!H52</f>
        <v>27187.5</v>
      </c>
      <c r="M51" s="59">
        <f>Laks!H52</f>
        <v>0</v>
      </c>
      <c r="N51" s="59">
        <f>Assens!H52</f>
        <v>18000</v>
      </c>
      <c r="O51" s="59">
        <f>Nyborg!H52</f>
        <v>0</v>
      </c>
      <c r="P51" s="59">
        <f>Nordfyn!H52</f>
        <v>105882</v>
      </c>
      <c r="Q51" s="59">
        <f>Kerteminde!H52</f>
        <v>0</v>
      </c>
      <c r="R51" s="59">
        <f>'Særlige tilskud'!H52</f>
        <v>0</v>
      </c>
    </row>
    <row r="52" spans="1:18" x14ac:dyDescent="0.25">
      <c r="A52" s="47" t="s">
        <v>77</v>
      </c>
      <c r="B52" s="47" t="s">
        <v>78</v>
      </c>
      <c r="C52" s="50">
        <v>4800</v>
      </c>
      <c r="D52" s="50">
        <v>26000</v>
      </c>
      <c r="E52" s="50">
        <v>81.540000000000006</v>
      </c>
      <c r="F52" s="50">
        <v>18.46</v>
      </c>
      <c r="G52" s="50">
        <v>21200</v>
      </c>
      <c r="H52" s="54">
        <f t="shared" si="2"/>
        <v>26000</v>
      </c>
      <c r="K52" s="59">
        <f>'Fælles adm.'!H53</f>
        <v>0</v>
      </c>
      <c r="L52" s="59">
        <f>Odense!H53</f>
        <v>16000</v>
      </c>
      <c r="M52" s="59">
        <f>Laks!H53</f>
        <v>0</v>
      </c>
      <c r="N52" s="59">
        <f>Assens!H53</f>
        <v>0</v>
      </c>
      <c r="O52" s="59">
        <f>Nyborg!H53</f>
        <v>0</v>
      </c>
      <c r="P52" s="59">
        <f>Nordfyn!H53</f>
        <v>10000</v>
      </c>
      <c r="Q52" s="59">
        <f>Kerteminde!H53</f>
        <v>0</v>
      </c>
      <c r="R52" s="59">
        <f>'Særlige tilskud'!H53</f>
        <v>0</v>
      </c>
    </row>
    <row r="53" spans="1:18" x14ac:dyDescent="0.25">
      <c r="A53" s="47" t="s">
        <v>79</v>
      </c>
      <c r="B53" s="47" t="s">
        <v>80</v>
      </c>
      <c r="C53" s="50">
        <v>13500</v>
      </c>
      <c r="G53" s="50">
        <v>-13500</v>
      </c>
      <c r="H53" s="54">
        <f t="shared" si="2"/>
        <v>13500</v>
      </c>
      <c r="K53" s="59">
        <f>'Fælles adm.'!H54</f>
        <v>0</v>
      </c>
      <c r="L53" s="59">
        <f>Odense!H54</f>
        <v>0</v>
      </c>
      <c r="M53" s="59">
        <f>Laks!H54</f>
        <v>0</v>
      </c>
      <c r="N53" s="59">
        <f>Assens!H54</f>
        <v>0</v>
      </c>
      <c r="O53" s="59">
        <f>Nyborg!H54</f>
        <v>0</v>
      </c>
      <c r="P53" s="59">
        <f>Nordfyn!H54</f>
        <v>0</v>
      </c>
      <c r="Q53" s="59">
        <f>Kerteminde!H54</f>
        <v>13500</v>
      </c>
      <c r="R53" s="59">
        <f>'Særlige tilskud'!H54</f>
        <v>0</v>
      </c>
    </row>
    <row r="54" spans="1:18" x14ac:dyDescent="0.25">
      <c r="A54" s="47" t="s">
        <v>81</v>
      </c>
      <c r="B54" s="47" t="s">
        <v>82</v>
      </c>
      <c r="C54" s="50">
        <v>2966638.5</v>
      </c>
      <c r="D54" s="50">
        <v>3277907.67</v>
      </c>
      <c r="E54" s="50">
        <v>9.5</v>
      </c>
      <c r="F54" s="50">
        <v>90.5</v>
      </c>
      <c r="G54" s="50">
        <v>311269.17</v>
      </c>
      <c r="H54" s="54">
        <f t="shared" si="2"/>
        <v>3292659.8</v>
      </c>
      <c r="K54" s="59">
        <f>'Fælles adm.'!H55</f>
        <v>3198</v>
      </c>
      <c r="L54" s="59">
        <f>Odense!H55</f>
        <v>12432</v>
      </c>
      <c r="M54" s="59">
        <f>Laks!H55</f>
        <v>3247833</v>
      </c>
      <c r="N54" s="59">
        <f>Assens!H55</f>
        <v>5196.8</v>
      </c>
      <c r="O54" s="59">
        <f>Nyborg!H55</f>
        <v>0</v>
      </c>
      <c r="P54" s="59">
        <f>Nordfyn!H55</f>
        <v>24000</v>
      </c>
      <c r="Q54" s="59">
        <f>Kerteminde!H55</f>
        <v>0</v>
      </c>
      <c r="R54" s="59">
        <f>'Særlige tilskud'!H55</f>
        <v>0</v>
      </c>
    </row>
    <row r="55" spans="1:18" x14ac:dyDescent="0.25">
      <c r="A55" s="47" t="s">
        <v>83</v>
      </c>
      <c r="B55" s="47" t="s">
        <v>84</v>
      </c>
      <c r="C55" s="50">
        <v>43400.3</v>
      </c>
      <c r="D55" s="50">
        <v>1520321</v>
      </c>
      <c r="E55" s="50">
        <v>97.15</v>
      </c>
      <c r="F55" s="50">
        <v>2.85</v>
      </c>
      <c r="G55" s="50">
        <v>1476920.7</v>
      </c>
      <c r="H55" s="54">
        <f t="shared" si="2"/>
        <v>1523921</v>
      </c>
      <c r="K55" s="59">
        <f>'Fælles adm.'!H56</f>
        <v>3600</v>
      </c>
      <c r="L55" s="59">
        <f>Odense!H56</f>
        <v>500000</v>
      </c>
      <c r="M55" s="59">
        <f>Laks!H56</f>
        <v>0</v>
      </c>
      <c r="N55" s="59">
        <f>Assens!H56</f>
        <v>400000</v>
      </c>
      <c r="O55" s="59">
        <f>Nyborg!H56</f>
        <v>75000</v>
      </c>
      <c r="P55" s="59">
        <f>Nordfyn!H56</f>
        <v>350000</v>
      </c>
      <c r="Q55" s="59">
        <f>Kerteminde!H56</f>
        <v>195321</v>
      </c>
      <c r="R55" s="59">
        <f>'Særlige tilskud'!H56</f>
        <v>0</v>
      </c>
    </row>
    <row r="56" spans="1:18" x14ac:dyDescent="0.25">
      <c r="A56" s="47" t="s">
        <v>85</v>
      </c>
      <c r="B56" s="47" t="s">
        <v>86</v>
      </c>
      <c r="C56" s="50">
        <v>6600</v>
      </c>
      <c r="G56" s="50">
        <v>-6600</v>
      </c>
      <c r="H56" s="54">
        <f t="shared" si="2"/>
        <v>6850</v>
      </c>
      <c r="K56" s="59">
        <f>'Fælles adm.'!H57</f>
        <v>6600</v>
      </c>
      <c r="L56" s="59">
        <f>Odense!H57</f>
        <v>0</v>
      </c>
      <c r="M56" s="59">
        <f>Laks!H57</f>
        <v>0</v>
      </c>
      <c r="N56" s="59">
        <f>Assens!H57</f>
        <v>0</v>
      </c>
      <c r="O56" s="59">
        <f>Nyborg!H57</f>
        <v>0</v>
      </c>
      <c r="P56" s="59">
        <f>Nordfyn!H57</f>
        <v>250</v>
      </c>
      <c r="Q56" s="59">
        <f>Kerteminde!H57</f>
        <v>0</v>
      </c>
      <c r="R56" s="59">
        <f>'Særlige tilskud'!H57</f>
        <v>0</v>
      </c>
    </row>
    <row r="57" spans="1:18" x14ac:dyDescent="0.25">
      <c r="A57" s="47" t="s">
        <v>87</v>
      </c>
      <c r="B57" s="47" t="s">
        <v>88</v>
      </c>
      <c r="C57" s="50">
        <v>9254.1</v>
      </c>
      <c r="D57" s="50">
        <v>513320</v>
      </c>
      <c r="E57" s="50">
        <v>98.2</v>
      </c>
      <c r="F57" s="50">
        <v>1.8</v>
      </c>
      <c r="G57" s="50">
        <v>504065.9</v>
      </c>
      <c r="H57" s="54">
        <f t="shared" si="2"/>
        <v>667774.1</v>
      </c>
      <c r="K57" s="59">
        <f>'Fælles adm.'!H58</f>
        <v>0</v>
      </c>
      <c r="L57" s="59">
        <f>Odense!H58</f>
        <v>4454.1000000000004</v>
      </c>
      <c r="M57" s="59">
        <f>Laks!H58</f>
        <v>0</v>
      </c>
      <c r="N57" s="59">
        <f>Assens!H58</f>
        <v>330000</v>
      </c>
      <c r="O57" s="59">
        <f>Nyborg!H58</f>
        <v>77000</v>
      </c>
      <c r="P57" s="59">
        <f>Nordfyn!H58</f>
        <v>177480</v>
      </c>
      <c r="Q57" s="59">
        <f>Kerteminde!H58</f>
        <v>78840</v>
      </c>
      <c r="R57" s="59">
        <f>'Særlige tilskud'!H58</f>
        <v>0</v>
      </c>
    </row>
    <row r="58" spans="1:18" x14ac:dyDescent="0.25">
      <c r="A58" s="48" t="s">
        <v>89</v>
      </c>
      <c r="B58" s="48" t="s">
        <v>17</v>
      </c>
      <c r="C58" s="51">
        <v>3310489.05</v>
      </c>
      <c r="D58" s="51">
        <v>5639295.6699999999</v>
      </c>
      <c r="E58" s="51">
        <v>41.3</v>
      </c>
      <c r="F58" s="51">
        <v>58.7</v>
      </c>
      <c r="G58" s="51">
        <v>2328806.62</v>
      </c>
      <c r="H58" s="55">
        <f t="shared" si="2"/>
        <v>5844287.0500000007</v>
      </c>
      <c r="K58" s="60">
        <f>'Fælles adm.'!H59</f>
        <v>13398</v>
      </c>
      <c r="L58" s="60">
        <f>Odense!H59</f>
        <v>677012.72</v>
      </c>
      <c r="M58" s="60">
        <f>Laks!H59</f>
        <v>3247833</v>
      </c>
      <c r="N58" s="60">
        <f>Assens!H59</f>
        <v>768350.2</v>
      </c>
      <c r="O58" s="60">
        <f>Nyborg!H59</f>
        <v>164939.53</v>
      </c>
      <c r="P58" s="60">
        <f>Nordfyn!H59</f>
        <v>680657.4</v>
      </c>
      <c r="Q58" s="60">
        <f>Kerteminde!H59</f>
        <v>292096.2</v>
      </c>
      <c r="R58" s="60">
        <f>'Særlige tilskud'!H59</f>
        <v>0</v>
      </c>
    </row>
    <row r="59" spans="1:18" x14ac:dyDescent="0.25">
      <c r="A59" s="47" t="s">
        <v>12</v>
      </c>
      <c r="B59" s="47" t="s">
        <v>12</v>
      </c>
      <c r="H59" s="54"/>
      <c r="K59" s="57"/>
      <c r="L59" s="57">
        <f>Odense!H60</f>
        <v>0</v>
      </c>
      <c r="M59" s="57"/>
      <c r="N59" s="57"/>
      <c r="O59" s="57"/>
      <c r="P59" s="57"/>
      <c r="Q59" s="57"/>
      <c r="R59" s="57"/>
    </row>
    <row r="60" spans="1:18" x14ac:dyDescent="0.25">
      <c r="A60" s="48" t="s">
        <v>90</v>
      </c>
      <c r="B60" s="48" t="s">
        <v>91</v>
      </c>
      <c r="C60" s="51"/>
      <c r="D60" s="51"/>
      <c r="E60" s="51"/>
      <c r="F60" s="51"/>
      <c r="G60" s="51"/>
      <c r="H60" s="55"/>
      <c r="K60" s="57"/>
      <c r="L60" s="57">
        <f>Odense!H61</f>
        <v>0</v>
      </c>
      <c r="M60" s="57"/>
      <c r="N60" s="57"/>
      <c r="O60" s="57"/>
      <c r="P60" s="57"/>
      <c r="Q60" s="57"/>
      <c r="R60" s="57"/>
    </row>
    <row r="61" spans="1:18" x14ac:dyDescent="0.25">
      <c r="A61" s="47" t="s">
        <v>92</v>
      </c>
      <c r="B61" s="47" t="s">
        <v>93</v>
      </c>
      <c r="C61" s="50">
        <v>362884.2</v>
      </c>
      <c r="G61" s="50">
        <v>-362884.2</v>
      </c>
      <c r="H61" s="54">
        <f>SUM(K61:R61)</f>
        <v>698365.85000000009</v>
      </c>
      <c r="K61" s="59">
        <f>'Fælles adm.'!H62</f>
        <v>4644.5</v>
      </c>
      <c r="L61" s="59">
        <f>Odense!H62</f>
        <v>469392</v>
      </c>
      <c r="M61" s="59">
        <f>Laks!H62</f>
        <v>0</v>
      </c>
      <c r="N61" s="59">
        <f>Assens!H62</f>
        <v>0</v>
      </c>
      <c r="O61" s="59">
        <f>Nyborg!H62</f>
        <v>22758.05</v>
      </c>
      <c r="P61" s="59">
        <f>Nordfyn!H62</f>
        <v>51089.5</v>
      </c>
      <c r="Q61" s="59">
        <f>Kerteminde!H62</f>
        <v>150481.79999999999</v>
      </c>
      <c r="R61" s="59">
        <f>'Særlige tilskud'!H62</f>
        <v>0</v>
      </c>
    </row>
    <row r="62" spans="1:18" x14ac:dyDescent="0.25">
      <c r="A62" s="48" t="s">
        <v>94</v>
      </c>
      <c r="B62" s="48" t="s">
        <v>95</v>
      </c>
      <c r="C62" s="51">
        <v>362884.2</v>
      </c>
      <c r="D62" s="51"/>
      <c r="E62" s="51"/>
      <c r="F62" s="51"/>
      <c r="G62" s="51">
        <v>-362884.2</v>
      </c>
      <c r="H62" s="5">
        <f>SUM(K62:R62)</f>
        <v>698365.85000000009</v>
      </c>
      <c r="K62" s="8">
        <f>'Fælles adm.'!H63</f>
        <v>4644.5</v>
      </c>
      <c r="L62" s="8">
        <f>Odense!H63</f>
        <v>469392</v>
      </c>
      <c r="M62" s="8">
        <f>Laks!H63</f>
        <v>0</v>
      </c>
      <c r="N62" s="8">
        <f>Assens!H63</f>
        <v>0</v>
      </c>
      <c r="O62" s="8">
        <f>Nyborg!H63</f>
        <v>22758.05</v>
      </c>
      <c r="P62" s="8">
        <f>Nordfyn!H63</f>
        <v>51089.5</v>
      </c>
      <c r="Q62" s="8">
        <f>Kerteminde!H63</f>
        <v>150481.79999999999</v>
      </c>
      <c r="R62" s="8">
        <f>'Særlige tilskud'!H63</f>
        <v>0</v>
      </c>
    </row>
    <row r="63" spans="1:18" x14ac:dyDescent="0.25">
      <c r="A63" s="47" t="s">
        <v>12</v>
      </c>
      <c r="B63" s="47" t="s">
        <v>12</v>
      </c>
      <c r="H63" s="53"/>
      <c r="K63" s="57"/>
      <c r="L63" s="57"/>
      <c r="M63" s="57"/>
      <c r="N63" s="57"/>
      <c r="O63" s="57"/>
      <c r="P63" s="57"/>
      <c r="Q63" s="57"/>
      <c r="R63" s="57"/>
    </row>
    <row r="64" spans="1:18" x14ac:dyDescent="0.25">
      <c r="A64" s="48" t="s">
        <v>96</v>
      </c>
      <c r="B64" s="48" t="s">
        <v>97</v>
      </c>
      <c r="C64" s="51">
        <v>50249834.020000003</v>
      </c>
      <c r="D64" s="51">
        <v>96587272.180000007</v>
      </c>
      <c r="E64" s="51">
        <v>47.97</v>
      </c>
      <c r="F64" s="51">
        <v>52.03</v>
      </c>
      <c r="G64" s="51">
        <v>46337438.159999996</v>
      </c>
      <c r="H64" s="5">
        <f>SUM(K64:R64)</f>
        <v>86063854.460000008</v>
      </c>
      <c r="K64" s="8">
        <f>'Fælles adm.'!H65</f>
        <v>2244892.5</v>
      </c>
      <c r="L64" s="8">
        <f>Odense!H65</f>
        <v>27847482.334952131</v>
      </c>
      <c r="M64" s="8">
        <f>Laks!H65</f>
        <v>3247833</v>
      </c>
      <c r="N64" s="8">
        <f>Assens!H65</f>
        <v>10717254.971931204</v>
      </c>
      <c r="O64" s="8">
        <f>Nyborg!H65</f>
        <v>9476260.9556021392</v>
      </c>
      <c r="P64" s="8">
        <f>Nordfyn!H65</f>
        <v>11310094.36221312</v>
      </c>
      <c r="Q64" s="8">
        <f>Kerteminde!H65</f>
        <v>11135903.965301402</v>
      </c>
      <c r="R64" s="8">
        <f>'Særlige tilskud'!H65</f>
        <v>10084132.370000001</v>
      </c>
    </row>
    <row r="65" spans="1:18" x14ac:dyDescent="0.25">
      <c r="A65" s="47" t="s">
        <v>12</v>
      </c>
      <c r="B65" s="47" t="s">
        <v>12</v>
      </c>
      <c r="H65" s="53"/>
      <c r="K65" s="57"/>
      <c r="L65" s="57"/>
      <c r="M65" s="57"/>
      <c r="N65" s="57"/>
      <c r="O65" s="57"/>
      <c r="P65" s="57"/>
      <c r="Q65" s="57"/>
      <c r="R65" s="57"/>
    </row>
    <row r="66" spans="1:18" x14ac:dyDescent="0.25">
      <c r="A66" s="48" t="s">
        <v>98</v>
      </c>
      <c r="B66" s="48" t="s">
        <v>99</v>
      </c>
      <c r="C66" s="51"/>
      <c r="D66" s="51"/>
      <c r="E66" s="51"/>
      <c r="F66" s="51"/>
      <c r="G66" s="51"/>
      <c r="H66" s="5"/>
      <c r="K66" s="8"/>
      <c r="L66" s="8"/>
      <c r="M66" s="8"/>
      <c r="N66" s="8"/>
      <c r="O66" s="8"/>
      <c r="P66" s="8"/>
      <c r="Q66" s="8"/>
      <c r="R66" s="8"/>
    </row>
    <row r="67" spans="1:18" x14ac:dyDescent="0.25">
      <c r="A67" s="47" t="s">
        <v>100</v>
      </c>
      <c r="B67" s="47" t="s">
        <v>101</v>
      </c>
      <c r="H67" s="53">
        <f>SUM(K67:R67)</f>
        <v>0</v>
      </c>
      <c r="K67" s="57"/>
      <c r="L67" s="57">
        <f>Odense!H68</f>
        <v>0</v>
      </c>
      <c r="M67" s="57"/>
      <c r="N67" s="57"/>
      <c r="O67" s="57"/>
      <c r="P67" s="57"/>
      <c r="Q67" s="57"/>
      <c r="R67" s="57"/>
    </row>
    <row r="68" spans="1:18" x14ac:dyDescent="0.25">
      <c r="A68" s="47" t="s">
        <v>102</v>
      </c>
      <c r="B68" s="47" t="s">
        <v>103</v>
      </c>
      <c r="H68" s="53">
        <f>SUM(K68:R68)</f>
        <v>0</v>
      </c>
      <c r="K68" s="57">
        <f>'Fælles adm.'!H69</f>
        <v>0</v>
      </c>
      <c r="L68" s="57">
        <f>Odense!H69</f>
        <v>0</v>
      </c>
      <c r="M68" s="57">
        <f>Laks!H69</f>
        <v>0</v>
      </c>
      <c r="N68" s="57">
        <f>Assens!H69</f>
        <v>0</v>
      </c>
      <c r="O68" s="57">
        <f>Nyborg!H69</f>
        <v>0</v>
      </c>
      <c r="P68" s="57">
        <f>Nordfyn!H69</f>
        <v>0</v>
      </c>
      <c r="Q68" s="57">
        <f>Kerteminde!H69</f>
        <v>0</v>
      </c>
      <c r="R68" s="57">
        <f>'Særlige tilskud'!H69</f>
        <v>0</v>
      </c>
    </row>
    <row r="69" spans="1:18" x14ac:dyDescent="0.25">
      <c r="A69" s="48" t="s">
        <v>104</v>
      </c>
      <c r="B69" s="48" t="s">
        <v>105</v>
      </c>
      <c r="C69" s="51"/>
      <c r="D69" s="51"/>
      <c r="E69" s="51"/>
      <c r="F69" s="51"/>
      <c r="G69" s="51"/>
      <c r="H69" s="5">
        <f>SUM(K69:R69)</f>
        <v>0</v>
      </c>
      <c r="K69" s="8">
        <f>'Fælles adm.'!H70</f>
        <v>0</v>
      </c>
      <c r="L69" s="8">
        <f>Odense!H70</f>
        <v>0</v>
      </c>
      <c r="M69" s="8">
        <f>Laks!H70</f>
        <v>0</v>
      </c>
      <c r="N69" s="8">
        <f>Assens!H70</f>
        <v>0</v>
      </c>
      <c r="O69" s="8">
        <f>Nyborg!H70</f>
        <v>0</v>
      </c>
      <c r="P69" s="8">
        <f>Nordfyn!H70</f>
        <v>0</v>
      </c>
      <c r="Q69" s="8">
        <f>Kerteminde!H70</f>
        <v>0</v>
      </c>
      <c r="R69" s="8">
        <f>'Særlige tilskud'!H70</f>
        <v>0</v>
      </c>
    </row>
    <row r="70" spans="1:18" x14ac:dyDescent="0.25">
      <c r="A70" s="47" t="s">
        <v>12</v>
      </c>
      <c r="B70" s="47" t="s">
        <v>12</v>
      </c>
      <c r="H70" s="53"/>
      <c r="K70" s="57"/>
      <c r="L70" s="57"/>
      <c r="M70" s="57"/>
      <c r="N70" s="57"/>
      <c r="O70" s="57"/>
      <c r="P70" s="57"/>
      <c r="Q70" s="57"/>
      <c r="R70" s="57"/>
    </row>
    <row r="71" spans="1:18" x14ac:dyDescent="0.25">
      <c r="A71" s="48" t="s">
        <v>106</v>
      </c>
      <c r="B71" s="48" t="s">
        <v>107</v>
      </c>
      <c r="C71" s="51"/>
      <c r="D71" s="51"/>
      <c r="E71" s="51"/>
      <c r="F71" s="51"/>
      <c r="G71" s="51"/>
      <c r="H71" s="5"/>
      <c r="K71" s="57"/>
      <c r="L71" s="57"/>
      <c r="M71" s="57"/>
      <c r="N71" s="57"/>
      <c r="O71" s="57"/>
      <c r="P71" s="57"/>
      <c r="Q71" s="57"/>
      <c r="R71" s="57"/>
    </row>
    <row r="72" spans="1:18" x14ac:dyDescent="0.25">
      <c r="A72" s="47" t="s">
        <v>108</v>
      </c>
      <c r="B72" s="47" t="s">
        <v>109</v>
      </c>
      <c r="C72" s="50">
        <v>-67991</v>
      </c>
      <c r="D72" s="50">
        <v>-518200</v>
      </c>
      <c r="E72" s="50">
        <v>86.88</v>
      </c>
      <c r="F72" s="50">
        <v>13.12</v>
      </c>
      <c r="G72" s="50">
        <v>-450209</v>
      </c>
      <c r="H72" s="53">
        <f>SUM(K72:R72)</f>
        <v>-140000</v>
      </c>
      <c r="K72" s="57">
        <f>'Fælles adm.'!H73</f>
        <v>0</v>
      </c>
      <c r="L72" s="57">
        <f>Odense!H73</f>
        <v>0</v>
      </c>
      <c r="M72" s="57">
        <f>Laks!H73</f>
        <v>0</v>
      </c>
      <c r="N72" s="57">
        <f>Assens!H73</f>
        <v>0</v>
      </c>
      <c r="O72" s="57">
        <f>Nyborg!H73</f>
        <v>-140000</v>
      </c>
      <c r="P72" s="57">
        <f>Nordfyn!H73</f>
        <v>0</v>
      </c>
      <c r="Q72" s="57">
        <f>Kerteminde!H73</f>
        <v>0</v>
      </c>
      <c r="R72" s="57">
        <f>'Særlige tilskud'!H73</f>
        <v>0</v>
      </c>
    </row>
    <row r="73" spans="1:18" x14ac:dyDescent="0.25">
      <c r="A73" s="47" t="s">
        <v>110</v>
      </c>
      <c r="B73" s="47" t="s">
        <v>111</v>
      </c>
      <c r="C73" s="50">
        <v>-22937.919999999998</v>
      </c>
      <c r="G73" s="50">
        <v>22937.919999999998</v>
      </c>
      <c r="H73" s="53">
        <f>SUM(K73:R73)</f>
        <v>-22937.919999999998</v>
      </c>
      <c r="K73" s="57">
        <f>'Fælles adm.'!H74</f>
        <v>0</v>
      </c>
      <c r="L73" s="57">
        <f>Odense!H74</f>
        <v>-10796.67</v>
      </c>
      <c r="M73" s="57">
        <f>Laks!H74</f>
        <v>0</v>
      </c>
      <c r="N73" s="57">
        <f>Assens!H74</f>
        <v>0</v>
      </c>
      <c r="O73" s="57">
        <f>Nyborg!H74</f>
        <v>-12141.25</v>
      </c>
      <c r="P73" s="57">
        <f>Nordfyn!H74</f>
        <v>0</v>
      </c>
      <c r="Q73" s="57">
        <f>Kerteminde!H74</f>
        <v>0</v>
      </c>
      <c r="R73" s="57">
        <f>'Særlige tilskud'!H74</f>
        <v>0</v>
      </c>
    </row>
    <row r="74" spans="1:18" x14ac:dyDescent="0.25">
      <c r="A74" s="47" t="s">
        <v>112</v>
      </c>
      <c r="B74" s="47" t="s">
        <v>113</v>
      </c>
      <c r="C74" s="50">
        <v>-32724</v>
      </c>
      <c r="D74" s="50">
        <v>-37660</v>
      </c>
      <c r="E74" s="50">
        <v>13.11</v>
      </c>
      <c r="F74" s="50">
        <v>86.89</v>
      </c>
      <c r="G74" s="50">
        <v>-4936</v>
      </c>
      <c r="H74" s="53">
        <f>SUM(K74:R74)</f>
        <v>-51554</v>
      </c>
      <c r="K74" s="57">
        <f>'Fælles adm.'!H75</f>
        <v>0</v>
      </c>
      <c r="L74" s="57">
        <f>Odense!H75</f>
        <v>0</v>
      </c>
      <c r="M74" s="57">
        <f>Laks!H75</f>
        <v>0</v>
      </c>
      <c r="N74" s="57">
        <f>Assens!H75</f>
        <v>0</v>
      </c>
      <c r="O74" s="57">
        <f>Nyborg!H75</f>
        <v>-9713</v>
      </c>
      <c r="P74" s="57">
        <f>Nordfyn!H75</f>
        <v>-4181</v>
      </c>
      <c r="Q74" s="57">
        <f>Kerteminde!H75</f>
        <v>-37660</v>
      </c>
      <c r="R74" s="57">
        <f>'Særlige tilskud'!H75</f>
        <v>0</v>
      </c>
    </row>
    <row r="75" spans="1:18" x14ac:dyDescent="0.25">
      <c r="A75" s="47" t="s">
        <v>114</v>
      </c>
      <c r="B75" s="47" t="s">
        <v>115</v>
      </c>
      <c r="C75" s="50">
        <v>-335577.22</v>
      </c>
      <c r="D75" s="50">
        <v>-495746</v>
      </c>
      <c r="E75" s="50">
        <v>32.31</v>
      </c>
      <c r="F75" s="50">
        <v>67.69</v>
      </c>
      <c r="G75" s="50">
        <v>-160168.78</v>
      </c>
      <c r="H75" s="53">
        <f>SUM(K75:R75)</f>
        <v>-647773.89</v>
      </c>
      <c r="K75" s="57">
        <f>'Fælles adm.'!H76</f>
        <v>-11383.84</v>
      </c>
      <c r="L75" s="57">
        <f>Odense!H76</f>
        <v>-2748.2</v>
      </c>
      <c r="M75" s="57">
        <f>Laks!H76</f>
        <v>-5496.4</v>
      </c>
      <c r="N75" s="57">
        <f>Assens!H76</f>
        <v>-168399.45</v>
      </c>
      <c r="O75" s="57">
        <f>Nyborg!H76</f>
        <v>-5000</v>
      </c>
      <c r="P75" s="57">
        <f>Nordfyn!H76</f>
        <v>-309146</v>
      </c>
      <c r="Q75" s="57">
        <f>Kerteminde!H76</f>
        <v>-145600</v>
      </c>
      <c r="R75" s="57">
        <f>'Særlige tilskud'!H76</f>
        <v>0</v>
      </c>
    </row>
    <row r="76" spans="1:18" x14ac:dyDescent="0.25">
      <c r="A76" s="48" t="s">
        <v>116</v>
      </c>
      <c r="B76" s="48" t="s">
        <v>117</v>
      </c>
      <c r="C76" s="51">
        <v>-459230.14</v>
      </c>
      <c r="D76" s="51">
        <v>-1051606</v>
      </c>
      <c r="E76" s="51">
        <v>56.33</v>
      </c>
      <c r="F76" s="51">
        <v>43.67</v>
      </c>
      <c r="G76" s="51">
        <v>-592375.86</v>
      </c>
      <c r="H76" s="5">
        <f>SUM(K76:R76)</f>
        <v>-862265.81</v>
      </c>
      <c r="K76" s="8">
        <f>'Fælles adm.'!H77</f>
        <v>-11383.84</v>
      </c>
      <c r="L76" s="8">
        <f>Odense!H77</f>
        <v>-13544.869999999999</v>
      </c>
      <c r="M76" s="8">
        <f>Laks!H77</f>
        <v>-5496.4</v>
      </c>
      <c r="N76" s="8">
        <f>Assens!H77</f>
        <v>-168399.45</v>
      </c>
      <c r="O76" s="8">
        <f>Nyborg!H77</f>
        <v>-166854.25</v>
      </c>
      <c r="P76" s="8">
        <f>Nordfyn!H77</f>
        <v>-313327</v>
      </c>
      <c r="Q76" s="8">
        <f>Kerteminde!H77</f>
        <v>-183260</v>
      </c>
      <c r="R76" s="8">
        <f>'Særlige tilskud'!H77</f>
        <v>0</v>
      </c>
    </row>
    <row r="77" spans="1:18" x14ac:dyDescent="0.25">
      <c r="A77" s="47" t="s">
        <v>12</v>
      </c>
      <c r="B77" s="47" t="s">
        <v>12</v>
      </c>
      <c r="H77" s="53"/>
      <c r="K77" s="57"/>
      <c r="L77" s="57"/>
      <c r="M77" s="57"/>
      <c r="N77" s="57"/>
      <c r="O77" s="57"/>
      <c r="P77" s="57"/>
      <c r="Q77" s="57"/>
      <c r="R77" s="57"/>
    </row>
    <row r="78" spans="1:18" x14ac:dyDescent="0.25">
      <c r="A78" s="48" t="s">
        <v>118</v>
      </c>
      <c r="B78" s="48" t="s">
        <v>119</v>
      </c>
      <c r="C78" s="51"/>
      <c r="D78" s="51"/>
      <c r="E78" s="51"/>
      <c r="F78" s="51"/>
      <c r="G78" s="51"/>
      <c r="H78" s="5"/>
      <c r="K78" s="57"/>
      <c r="L78" s="57"/>
      <c r="M78" s="57"/>
      <c r="N78" s="57"/>
      <c r="O78" s="57"/>
      <c r="P78" s="57"/>
      <c r="Q78" s="57"/>
      <c r="R78" s="57"/>
    </row>
    <row r="79" spans="1:18" x14ac:dyDescent="0.25">
      <c r="A79" s="47" t="s">
        <v>120</v>
      </c>
      <c r="B79" s="47" t="s">
        <v>121</v>
      </c>
      <c r="H79" s="53">
        <f>SUM(K79:R79)</f>
        <v>0</v>
      </c>
      <c r="K79" s="57">
        <f>'Fælles adm.'!H80</f>
        <v>0</v>
      </c>
      <c r="L79" s="57">
        <f>Odense!H80</f>
        <v>0</v>
      </c>
      <c r="M79" s="57">
        <f>Laks!H80</f>
        <v>0</v>
      </c>
      <c r="N79" s="57">
        <f>Assens!H80</f>
        <v>0</v>
      </c>
      <c r="O79" s="57">
        <f>Nyborg!H80</f>
        <v>0</v>
      </c>
      <c r="P79" s="57">
        <f>Nordfyn!H80</f>
        <v>0</v>
      </c>
      <c r="Q79" s="57">
        <f>Kerteminde!H80</f>
        <v>0</v>
      </c>
      <c r="R79" s="57">
        <f>'Særlige tilskud'!H80</f>
        <v>0</v>
      </c>
    </row>
    <row r="80" spans="1:18" x14ac:dyDescent="0.25">
      <c r="A80" s="47" t="s">
        <v>122</v>
      </c>
      <c r="B80" s="47" t="s">
        <v>123</v>
      </c>
      <c r="H80" s="53">
        <f>SUM(K80:R80)</f>
        <v>0</v>
      </c>
      <c r="K80" s="57">
        <f>'Fælles adm.'!H81</f>
        <v>0</v>
      </c>
      <c r="L80" s="57">
        <f>Odense!H81</f>
        <v>0</v>
      </c>
      <c r="M80" s="57">
        <f>Laks!H81</f>
        <v>0</v>
      </c>
      <c r="N80" s="57">
        <f>Assens!H81</f>
        <v>0</v>
      </c>
      <c r="O80" s="57">
        <f>Nyborg!H81</f>
        <v>0</v>
      </c>
      <c r="P80" s="57">
        <f>Nordfyn!H81</f>
        <v>0</v>
      </c>
      <c r="Q80" s="57">
        <f>Kerteminde!H81</f>
        <v>0</v>
      </c>
      <c r="R80" s="57">
        <f>'Særlige tilskud'!H81</f>
        <v>0</v>
      </c>
    </row>
    <row r="81" spans="1:18" x14ac:dyDescent="0.25">
      <c r="A81" s="48" t="s">
        <v>124</v>
      </c>
      <c r="B81" s="48" t="s">
        <v>125</v>
      </c>
      <c r="C81" s="51"/>
      <c r="D81" s="51"/>
      <c r="E81" s="51"/>
      <c r="F81" s="51"/>
      <c r="G81" s="51"/>
      <c r="H81" s="5">
        <f>SUM(K81:R81)</f>
        <v>0</v>
      </c>
      <c r="K81" s="8">
        <f>'Fælles adm.'!H82</f>
        <v>0</v>
      </c>
      <c r="L81" s="8">
        <f>Odense!H82</f>
        <v>0</v>
      </c>
      <c r="M81" s="8">
        <f>Laks!H82</f>
        <v>0</v>
      </c>
      <c r="N81" s="8">
        <f>Assens!H82</f>
        <v>0</v>
      </c>
      <c r="O81" s="8">
        <f>Nyborg!H82</f>
        <v>0</v>
      </c>
      <c r="P81" s="8">
        <f>Nordfyn!H82</f>
        <v>0</v>
      </c>
      <c r="Q81" s="8">
        <f>Kerteminde!H82</f>
        <v>0</v>
      </c>
      <c r="R81" s="8">
        <f>'Særlige tilskud'!H82</f>
        <v>0</v>
      </c>
    </row>
    <row r="82" spans="1:18" x14ac:dyDescent="0.25">
      <c r="A82" s="47" t="s">
        <v>12</v>
      </c>
      <c r="B82" s="47" t="s">
        <v>12</v>
      </c>
      <c r="H82" s="53"/>
      <c r="K82" s="57"/>
      <c r="L82" s="57"/>
      <c r="M82" s="57"/>
      <c r="N82" s="57"/>
      <c r="O82" s="57"/>
      <c r="P82" s="57"/>
      <c r="Q82" s="57"/>
      <c r="R82" s="57"/>
    </row>
    <row r="83" spans="1:18" x14ac:dyDescent="0.25">
      <c r="A83" s="48" t="s">
        <v>126</v>
      </c>
      <c r="B83" s="48" t="s">
        <v>30</v>
      </c>
      <c r="C83" s="51"/>
      <c r="D83" s="51"/>
      <c r="E83" s="51"/>
      <c r="F83" s="51"/>
      <c r="G83" s="51"/>
      <c r="H83" s="5"/>
      <c r="K83" s="57"/>
      <c r="L83" s="57"/>
      <c r="M83" s="57"/>
      <c r="N83" s="57"/>
      <c r="O83" s="57"/>
      <c r="P83" s="57"/>
      <c r="Q83" s="57"/>
      <c r="R83" s="57"/>
    </row>
    <row r="84" spans="1:18" x14ac:dyDescent="0.25">
      <c r="A84" s="47" t="s">
        <v>127</v>
      </c>
      <c r="B84" s="47" t="s">
        <v>128</v>
      </c>
      <c r="H84" s="53">
        <f t="shared" ref="H84:H106" si="3">SUM(K84:R84)</f>
        <v>0</v>
      </c>
      <c r="K84" s="57">
        <f>'Fælles adm.'!H85</f>
        <v>0</v>
      </c>
      <c r="L84" s="57">
        <f>Odense!H85</f>
        <v>0</v>
      </c>
      <c r="M84" s="57">
        <f>Laks!H85</f>
        <v>0</v>
      </c>
      <c r="N84" s="57">
        <f>Assens!H85</f>
        <v>0</v>
      </c>
      <c r="O84" s="57">
        <f>Nyborg!H85</f>
        <v>0</v>
      </c>
      <c r="P84" s="57">
        <f>Nordfyn!H85</f>
        <v>0</v>
      </c>
      <c r="Q84" s="57">
        <f>Kerteminde!H85</f>
        <v>0</v>
      </c>
      <c r="R84" s="57">
        <f>'Særlige tilskud'!H85</f>
        <v>0</v>
      </c>
    </row>
    <row r="85" spans="1:18" x14ac:dyDescent="0.25">
      <c r="A85" s="47" t="s">
        <v>129</v>
      </c>
      <c r="B85" s="47" t="s">
        <v>130</v>
      </c>
      <c r="C85" s="50">
        <v>-447361.2</v>
      </c>
      <c r="D85" s="50">
        <v>-1042434.9</v>
      </c>
      <c r="E85" s="50">
        <v>57.08</v>
      </c>
      <c r="F85" s="50">
        <v>42.92</v>
      </c>
      <c r="G85" s="50">
        <v>-595073.69999999995</v>
      </c>
      <c r="H85" s="53">
        <f t="shared" si="3"/>
        <v>-894722.4</v>
      </c>
      <c r="K85" s="57">
        <f>'Fælles adm.'!H86</f>
        <v>-894722.4</v>
      </c>
      <c r="L85" s="57">
        <f>Odense!H86</f>
        <v>0</v>
      </c>
      <c r="M85" s="57">
        <f>Laks!H86</f>
        <v>0</v>
      </c>
      <c r="N85" s="57">
        <f>Assens!H86</f>
        <v>0</v>
      </c>
      <c r="O85" s="57">
        <f>Nyborg!H86</f>
        <v>0</v>
      </c>
      <c r="P85" s="57">
        <f>Nordfyn!H86</f>
        <v>0</v>
      </c>
      <c r="Q85" s="57">
        <f>Kerteminde!H86</f>
        <v>0</v>
      </c>
      <c r="R85" s="57">
        <f>'Særlige tilskud'!H86</f>
        <v>0</v>
      </c>
    </row>
    <row r="86" spans="1:18" x14ac:dyDescent="0.25">
      <c r="A86" s="47" t="s">
        <v>131</v>
      </c>
      <c r="B86" s="47" t="s">
        <v>132</v>
      </c>
      <c r="H86" s="53">
        <f t="shared" si="3"/>
        <v>0</v>
      </c>
      <c r="K86" s="57">
        <f>'Fælles adm.'!H87</f>
        <v>0</v>
      </c>
      <c r="L86" s="57">
        <f>Odense!H87</f>
        <v>0</v>
      </c>
      <c r="M86" s="57">
        <f>Laks!H87</f>
        <v>0</v>
      </c>
      <c r="N86" s="57">
        <f>Assens!H87</f>
        <v>0</v>
      </c>
      <c r="O86" s="57">
        <f>Nyborg!H87</f>
        <v>0</v>
      </c>
      <c r="P86" s="57">
        <f>Nordfyn!H87</f>
        <v>0</v>
      </c>
      <c r="Q86" s="57">
        <f>Kerteminde!H87</f>
        <v>0</v>
      </c>
      <c r="R86" s="57">
        <f>'Særlige tilskud'!H87</f>
        <v>0</v>
      </c>
    </row>
    <row r="87" spans="1:18" x14ac:dyDescent="0.25">
      <c r="A87" s="47" t="s">
        <v>133</v>
      </c>
      <c r="B87" s="47" t="s">
        <v>134</v>
      </c>
      <c r="C87" s="50">
        <v>-25043.32</v>
      </c>
      <c r="G87" s="50">
        <v>25043.32</v>
      </c>
      <c r="H87" s="53">
        <f t="shared" si="3"/>
        <v>-25043.32</v>
      </c>
      <c r="K87" s="57">
        <f>'Fælles adm.'!H88</f>
        <v>0</v>
      </c>
      <c r="L87" s="57">
        <f>Odense!H88</f>
        <v>-14970.03</v>
      </c>
      <c r="M87" s="57">
        <f>Laks!H88</f>
        <v>0</v>
      </c>
      <c r="N87" s="57">
        <f>Assens!H88</f>
        <v>0</v>
      </c>
      <c r="O87" s="57">
        <f>Nyborg!H88</f>
        <v>-1748.84</v>
      </c>
      <c r="P87" s="57">
        <f>Nordfyn!H88</f>
        <v>-6575.62</v>
      </c>
      <c r="Q87" s="57">
        <f>Kerteminde!H88</f>
        <v>-1748.83</v>
      </c>
      <c r="R87" s="57">
        <f>'Særlige tilskud'!H88</f>
        <v>0</v>
      </c>
    </row>
    <row r="88" spans="1:18" x14ac:dyDescent="0.25">
      <c r="A88" s="47" t="s">
        <v>135</v>
      </c>
      <c r="B88" s="47" t="s">
        <v>136</v>
      </c>
      <c r="C88" s="50">
        <v>25043.32</v>
      </c>
      <c r="G88" s="50">
        <v>-25043.32</v>
      </c>
      <c r="H88" s="53">
        <f t="shared" si="3"/>
        <v>25043.32</v>
      </c>
      <c r="K88" s="57">
        <f>'Fælles adm.'!H89</f>
        <v>0</v>
      </c>
      <c r="L88" s="57">
        <f>Odense!H89</f>
        <v>14970.03</v>
      </c>
      <c r="M88" s="57">
        <f>Laks!H89</f>
        <v>0</v>
      </c>
      <c r="N88" s="57">
        <f>Assens!H89</f>
        <v>0</v>
      </c>
      <c r="O88" s="57">
        <f>Nyborg!H89</f>
        <v>1748.84</v>
      </c>
      <c r="P88" s="57">
        <f>Nordfyn!H89</f>
        <v>6575.62</v>
      </c>
      <c r="Q88" s="57">
        <f>Kerteminde!H89</f>
        <v>1748.83</v>
      </c>
      <c r="R88" s="57">
        <f>'Særlige tilskud'!H89</f>
        <v>0</v>
      </c>
    </row>
    <row r="89" spans="1:18" x14ac:dyDescent="0.25">
      <c r="A89" s="47" t="s">
        <v>137</v>
      </c>
      <c r="B89" s="47" t="s">
        <v>138</v>
      </c>
      <c r="C89" s="50">
        <v>-32752461.84</v>
      </c>
      <c r="D89" s="50">
        <v>-58924213.310000002</v>
      </c>
      <c r="E89" s="50">
        <v>44.42</v>
      </c>
      <c r="F89" s="50">
        <v>55.58</v>
      </c>
      <c r="G89" s="50">
        <v>-26171751.469999999</v>
      </c>
      <c r="H89" s="53">
        <f t="shared" si="3"/>
        <v>-56845269.530000001</v>
      </c>
      <c r="K89" s="57">
        <f>'Fælles adm.'!H90</f>
        <v>-6794150.6500000004</v>
      </c>
      <c r="L89" s="57">
        <f>Odense!H90</f>
        <v>-19345797.02</v>
      </c>
      <c r="M89" s="57">
        <f>Laks!H90</f>
        <v>-1371367</v>
      </c>
      <c r="N89" s="57">
        <f>Assens!H90</f>
        <v>-6394880.5999999996</v>
      </c>
      <c r="O89" s="57">
        <f>Nyborg!H90</f>
        <v>-6206889.04</v>
      </c>
      <c r="P89" s="57">
        <f>Nordfyn!H90</f>
        <v>-7931736.9299999997</v>
      </c>
      <c r="Q89" s="57">
        <f>Kerteminde!H90</f>
        <v>-8800448.2899999991</v>
      </c>
      <c r="R89" s="57">
        <f>'Særlige tilskud'!H90</f>
        <v>0</v>
      </c>
    </row>
    <row r="90" spans="1:18" x14ac:dyDescent="0.25">
      <c r="A90" s="47" t="s">
        <v>139</v>
      </c>
      <c r="B90" s="47" t="s">
        <v>140</v>
      </c>
      <c r="H90" s="53">
        <f t="shared" si="3"/>
        <v>0</v>
      </c>
      <c r="K90" s="57">
        <f>'Fælles adm.'!H91</f>
        <v>0</v>
      </c>
      <c r="L90" s="57">
        <f>Odense!H91</f>
        <v>0</v>
      </c>
      <c r="M90" s="57">
        <f>Laks!H91</f>
        <v>0</v>
      </c>
      <c r="N90" s="57">
        <f>Assens!H91</f>
        <v>0</v>
      </c>
      <c r="O90" s="57">
        <f>Nyborg!H91</f>
        <v>0</v>
      </c>
      <c r="P90" s="57">
        <f>Nordfyn!H91</f>
        <v>0</v>
      </c>
      <c r="Q90" s="57">
        <f>Kerteminde!H91</f>
        <v>0</v>
      </c>
      <c r="R90" s="57">
        <f>'Særlige tilskud'!H91</f>
        <v>0</v>
      </c>
    </row>
    <row r="91" spans="1:18" x14ac:dyDescent="0.25">
      <c r="A91" s="47" t="s">
        <v>141</v>
      </c>
      <c r="B91" s="47" t="s">
        <v>142</v>
      </c>
      <c r="H91" s="53">
        <f t="shared" si="3"/>
        <v>0</v>
      </c>
      <c r="K91" s="57">
        <f>'Fælles adm.'!H92</f>
        <v>0</v>
      </c>
      <c r="L91" s="57">
        <f>Odense!H92</f>
        <v>0</v>
      </c>
      <c r="M91" s="57">
        <f>Laks!H92</f>
        <v>0</v>
      </c>
      <c r="N91" s="57">
        <f>Assens!H92</f>
        <v>0</v>
      </c>
      <c r="O91" s="57">
        <f>Nyborg!H92</f>
        <v>0</v>
      </c>
      <c r="P91" s="57">
        <f>Nordfyn!H92</f>
        <v>0</v>
      </c>
      <c r="Q91" s="57">
        <f>Kerteminde!H92</f>
        <v>0</v>
      </c>
      <c r="R91" s="57">
        <f>'Særlige tilskud'!H92</f>
        <v>0</v>
      </c>
    </row>
    <row r="92" spans="1:18" x14ac:dyDescent="0.25">
      <c r="A92" s="47" t="s">
        <v>143</v>
      </c>
      <c r="B92" s="47" t="s">
        <v>144</v>
      </c>
      <c r="H92" s="53">
        <f t="shared" si="3"/>
        <v>0</v>
      </c>
      <c r="K92" s="57">
        <f>'Fælles adm.'!H93</f>
        <v>0</v>
      </c>
      <c r="L92" s="57">
        <f>Odense!H93</f>
        <v>0</v>
      </c>
      <c r="M92" s="57">
        <f>Laks!H93</f>
        <v>0</v>
      </c>
      <c r="N92" s="57">
        <f>Assens!H93</f>
        <v>0</v>
      </c>
      <c r="O92" s="57">
        <f>Nyborg!H93</f>
        <v>0</v>
      </c>
      <c r="P92" s="57">
        <f>Nordfyn!H93</f>
        <v>0</v>
      </c>
      <c r="Q92" s="57">
        <f>Kerteminde!H93</f>
        <v>0</v>
      </c>
      <c r="R92" s="57">
        <f>'Særlige tilskud'!H93</f>
        <v>0</v>
      </c>
    </row>
    <row r="93" spans="1:18" x14ac:dyDescent="0.25">
      <c r="A93" s="47" t="s">
        <v>145</v>
      </c>
      <c r="B93" s="47" t="s">
        <v>146</v>
      </c>
      <c r="C93" s="50">
        <v>448.84</v>
      </c>
      <c r="G93" s="50">
        <v>-448.84</v>
      </c>
      <c r="H93" s="53">
        <f t="shared" si="3"/>
        <v>-219551.15999999997</v>
      </c>
      <c r="K93" s="57">
        <f>'Fælles adm.'!H94</f>
        <v>-220000</v>
      </c>
      <c r="L93" s="57">
        <f>Odense!H94</f>
        <v>0</v>
      </c>
      <c r="M93" s="57">
        <f>Laks!H94</f>
        <v>0</v>
      </c>
      <c r="N93" s="57">
        <f>Assens!H94</f>
        <v>-1712.36</v>
      </c>
      <c r="O93" s="57">
        <f>Nyborg!H94</f>
        <v>2161.1999999999998</v>
      </c>
      <c r="P93" s="57">
        <f>Nordfyn!H94</f>
        <v>0</v>
      </c>
      <c r="Q93" s="57">
        <f>Kerteminde!H94</f>
        <v>0</v>
      </c>
      <c r="R93" s="57">
        <f>'Særlige tilskud'!H94</f>
        <v>0</v>
      </c>
    </row>
    <row r="94" spans="1:18" x14ac:dyDescent="0.25">
      <c r="A94" s="47" t="s">
        <v>147</v>
      </c>
      <c r="B94" s="47" t="s">
        <v>148</v>
      </c>
      <c r="C94" s="50">
        <v>-154694.1</v>
      </c>
      <c r="G94" s="50">
        <v>154694.1</v>
      </c>
      <c r="H94" s="53">
        <f t="shared" si="3"/>
        <v>-154694.1</v>
      </c>
      <c r="K94" s="57">
        <f>'Fælles adm.'!H95</f>
        <v>0</v>
      </c>
      <c r="L94" s="57">
        <f>Odense!H95</f>
        <v>-116939.12</v>
      </c>
      <c r="M94" s="57">
        <f>Laks!H95</f>
        <v>0</v>
      </c>
      <c r="N94" s="57">
        <f>Assens!H95</f>
        <v>-15153.51</v>
      </c>
      <c r="O94" s="57">
        <f>Nyborg!H95</f>
        <v>-12969.53</v>
      </c>
      <c r="P94" s="57">
        <f>Nordfyn!H95</f>
        <v>-2676.79</v>
      </c>
      <c r="Q94" s="57">
        <f>Kerteminde!H95</f>
        <v>-6955.15</v>
      </c>
      <c r="R94" s="57">
        <f>'Særlige tilskud'!H95</f>
        <v>0</v>
      </c>
    </row>
    <row r="95" spans="1:18" x14ac:dyDescent="0.25">
      <c r="A95" s="47" t="s">
        <v>149</v>
      </c>
      <c r="B95" s="47" t="s">
        <v>150</v>
      </c>
      <c r="H95" s="53">
        <f t="shared" si="3"/>
        <v>0</v>
      </c>
      <c r="K95" s="57">
        <f>'Fælles adm.'!H96</f>
        <v>0</v>
      </c>
      <c r="L95" s="57">
        <f>Odense!H96</f>
        <v>0</v>
      </c>
      <c r="M95" s="57">
        <f>Laks!H96</f>
        <v>0</v>
      </c>
      <c r="N95" s="57">
        <f>Assens!H96</f>
        <v>0</v>
      </c>
      <c r="O95" s="57">
        <f>Nyborg!H96</f>
        <v>0</v>
      </c>
      <c r="P95" s="57">
        <f>Nordfyn!H96</f>
        <v>0</v>
      </c>
      <c r="Q95" s="57">
        <f>Kerteminde!H96</f>
        <v>0</v>
      </c>
      <c r="R95" s="57">
        <f>'Særlige tilskud'!H96</f>
        <v>0</v>
      </c>
    </row>
    <row r="96" spans="1:18" x14ac:dyDescent="0.25">
      <c r="A96" s="47" t="s">
        <v>151</v>
      </c>
      <c r="B96" s="47" t="s">
        <v>152</v>
      </c>
      <c r="H96" s="53">
        <f t="shared" si="3"/>
        <v>0</v>
      </c>
      <c r="K96" s="57">
        <f>'Fælles adm.'!H97</f>
        <v>0</v>
      </c>
      <c r="L96" s="57">
        <f>Odense!H97</f>
        <v>0</v>
      </c>
      <c r="M96" s="57">
        <f>Laks!H97</f>
        <v>0</v>
      </c>
      <c r="N96" s="57">
        <f>Assens!H97</f>
        <v>0</v>
      </c>
      <c r="O96" s="57">
        <f>Nyborg!H97</f>
        <v>0</v>
      </c>
      <c r="P96" s="57">
        <f>Nordfyn!H97</f>
        <v>0</v>
      </c>
      <c r="Q96" s="57">
        <f>Kerteminde!H97</f>
        <v>0</v>
      </c>
      <c r="R96" s="57">
        <f>'Særlige tilskud'!H97</f>
        <v>0</v>
      </c>
    </row>
    <row r="97" spans="1:18" x14ac:dyDescent="0.25">
      <c r="A97" s="47" t="s">
        <v>153</v>
      </c>
      <c r="B97" s="47" t="s">
        <v>154</v>
      </c>
      <c r="H97" s="53">
        <f t="shared" si="3"/>
        <v>0</v>
      </c>
      <c r="K97" s="57">
        <f>'Fælles adm.'!H98</f>
        <v>0</v>
      </c>
      <c r="L97" s="57">
        <f>Odense!H98</f>
        <v>0</v>
      </c>
      <c r="M97" s="57">
        <f>Laks!H98</f>
        <v>0</v>
      </c>
      <c r="N97" s="57">
        <f>Assens!H98</f>
        <v>0</v>
      </c>
      <c r="O97" s="57">
        <f>Nyborg!H98</f>
        <v>0</v>
      </c>
      <c r="P97" s="57">
        <f>Nordfyn!H98</f>
        <v>0</v>
      </c>
      <c r="Q97" s="57">
        <f>Kerteminde!H98</f>
        <v>0</v>
      </c>
      <c r="R97" s="57">
        <f>'Særlige tilskud'!H98</f>
        <v>0</v>
      </c>
    </row>
    <row r="98" spans="1:18" x14ac:dyDescent="0.25">
      <c r="A98" s="47" t="s">
        <v>155</v>
      </c>
      <c r="B98" s="47" t="s">
        <v>156</v>
      </c>
      <c r="H98" s="53">
        <f t="shared" si="3"/>
        <v>0</v>
      </c>
      <c r="K98" s="57">
        <f>'Fælles adm.'!H99</f>
        <v>0</v>
      </c>
      <c r="L98" s="57">
        <f>Odense!H99</f>
        <v>0</v>
      </c>
      <c r="M98" s="57">
        <f>Laks!H99</f>
        <v>0</v>
      </c>
      <c r="N98" s="57">
        <f>Assens!H99</f>
        <v>0</v>
      </c>
      <c r="O98" s="57">
        <f>Nyborg!H99</f>
        <v>0</v>
      </c>
      <c r="P98" s="57">
        <f>Nordfyn!H99</f>
        <v>0</v>
      </c>
      <c r="Q98" s="57">
        <f>Kerteminde!H99</f>
        <v>0</v>
      </c>
      <c r="R98" s="57">
        <f>'Særlige tilskud'!H99</f>
        <v>0</v>
      </c>
    </row>
    <row r="99" spans="1:18" x14ac:dyDescent="0.25">
      <c r="A99" s="47" t="s">
        <v>157</v>
      </c>
      <c r="B99" s="47" t="s">
        <v>158</v>
      </c>
      <c r="H99" s="53">
        <f t="shared" si="3"/>
        <v>0</v>
      </c>
      <c r="K99" s="57">
        <f>'Fælles adm.'!H100</f>
        <v>0</v>
      </c>
      <c r="L99" s="57">
        <f>Odense!H100</f>
        <v>0</v>
      </c>
      <c r="M99" s="57">
        <f>Laks!H100</f>
        <v>0</v>
      </c>
      <c r="N99" s="57">
        <f>Assens!H100</f>
        <v>0</v>
      </c>
      <c r="O99" s="57">
        <f>Nyborg!H100</f>
        <v>0</v>
      </c>
      <c r="P99" s="57">
        <f>Nordfyn!H100</f>
        <v>0</v>
      </c>
      <c r="Q99" s="57">
        <f>Kerteminde!H100</f>
        <v>0</v>
      </c>
      <c r="R99" s="57">
        <f>'Særlige tilskud'!H100</f>
        <v>0</v>
      </c>
    </row>
    <row r="100" spans="1:18" x14ac:dyDescent="0.25">
      <c r="A100" s="47" t="s">
        <v>159</v>
      </c>
      <c r="B100" s="47" t="s">
        <v>160</v>
      </c>
      <c r="H100" s="53">
        <f t="shared" si="3"/>
        <v>0</v>
      </c>
      <c r="K100" s="57">
        <f>'Fælles adm.'!H101</f>
        <v>0</v>
      </c>
      <c r="L100" s="57">
        <f>Odense!H101</f>
        <v>0</v>
      </c>
      <c r="M100" s="57">
        <f>Laks!H101</f>
        <v>0</v>
      </c>
      <c r="N100" s="57">
        <f>Assens!H101</f>
        <v>0</v>
      </c>
      <c r="O100" s="57">
        <f>Nyborg!H101</f>
        <v>0</v>
      </c>
      <c r="P100" s="57">
        <f>Nordfyn!H101</f>
        <v>0</v>
      </c>
      <c r="Q100" s="57">
        <f>Kerteminde!H101</f>
        <v>0</v>
      </c>
      <c r="R100" s="57">
        <f>'Særlige tilskud'!H101</f>
        <v>0</v>
      </c>
    </row>
    <row r="101" spans="1:18" x14ac:dyDescent="0.25">
      <c r="A101" s="47" t="s">
        <v>161</v>
      </c>
      <c r="B101" s="47" t="s">
        <v>162</v>
      </c>
      <c r="H101" s="53">
        <f t="shared" si="3"/>
        <v>0</v>
      </c>
      <c r="K101" s="57">
        <f>'Fælles adm.'!H102</f>
        <v>0</v>
      </c>
      <c r="L101" s="57">
        <f>Odense!H102</f>
        <v>0</v>
      </c>
      <c r="M101" s="57">
        <f>Laks!H102</f>
        <v>0</v>
      </c>
      <c r="N101" s="57">
        <f>Assens!H102</f>
        <v>0</v>
      </c>
      <c r="O101" s="57">
        <f>Nyborg!H102</f>
        <v>0</v>
      </c>
      <c r="P101" s="57">
        <f>Nordfyn!H102</f>
        <v>0</v>
      </c>
      <c r="Q101" s="57">
        <f>Kerteminde!H102</f>
        <v>0</v>
      </c>
      <c r="R101" s="57">
        <f>'Særlige tilskud'!H102</f>
        <v>0</v>
      </c>
    </row>
    <row r="102" spans="1:18" x14ac:dyDescent="0.25">
      <c r="A102" s="47" t="s">
        <v>163</v>
      </c>
      <c r="B102" s="47" t="s">
        <v>164</v>
      </c>
      <c r="C102" s="50">
        <v>-71400</v>
      </c>
      <c r="D102" s="50">
        <v>-26873.33</v>
      </c>
      <c r="E102" s="50">
        <v>-165.69</v>
      </c>
      <c r="F102" s="50">
        <v>265.69</v>
      </c>
      <c r="G102" s="50">
        <v>44526.67</v>
      </c>
      <c r="H102" s="53">
        <f t="shared" si="3"/>
        <v>-142800</v>
      </c>
      <c r="K102" s="57">
        <f>'Fælles adm.'!H103</f>
        <v>-142800</v>
      </c>
      <c r="L102" s="57">
        <f>Odense!H103</f>
        <v>0</v>
      </c>
      <c r="M102" s="57">
        <f>Laks!H103</f>
        <v>0</v>
      </c>
      <c r="N102" s="57">
        <f>Assens!H103</f>
        <v>0</v>
      </c>
      <c r="O102" s="57">
        <f>Nyborg!H103</f>
        <v>0</v>
      </c>
      <c r="P102" s="57">
        <f>Nordfyn!H103</f>
        <v>0</v>
      </c>
      <c r="Q102" s="57">
        <f>Kerteminde!H103</f>
        <v>0</v>
      </c>
      <c r="R102" s="57">
        <f>'Særlige tilskud'!H103</f>
        <v>0</v>
      </c>
    </row>
    <row r="103" spans="1:18" x14ac:dyDescent="0.25">
      <c r="A103" s="47" t="s">
        <v>165</v>
      </c>
      <c r="B103" s="47" t="s">
        <v>166</v>
      </c>
      <c r="H103" s="53">
        <f t="shared" si="3"/>
        <v>0</v>
      </c>
      <c r="K103" s="57">
        <f>'Fælles adm.'!H104</f>
        <v>0</v>
      </c>
      <c r="L103" s="57">
        <f>Odense!H104</f>
        <v>0</v>
      </c>
      <c r="M103" s="57">
        <f>Laks!H104</f>
        <v>0</v>
      </c>
      <c r="N103" s="57">
        <f>Assens!H104</f>
        <v>0</v>
      </c>
      <c r="O103" s="57">
        <f>Nyborg!H104</f>
        <v>0</v>
      </c>
      <c r="P103" s="57">
        <f>Nordfyn!H104</f>
        <v>0</v>
      </c>
      <c r="Q103" s="57">
        <f>Kerteminde!H104</f>
        <v>0</v>
      </c>
      <c r="R103" s="57">
        <f>'Særlige tilskud'!H104</f>
        <v>0</v>
      </c>
    </row>
    <row r="104" spans="1:18" x14ac:dyDescent="0.25">
      <c r="A104" s="47" t="s">
        <v>167</v>
      </c>
      <c r="B104" s="47" t="s">
        <v>168</v>
      </c>
      <c r="H104" s="53">
        <f t="shared" si="3"/>
        <v>0</v>
      </c>
      <c r="K104" s="57">
        <f>'Fælles adm.'!H105</f>
        <v>0</v>
      </c>
      <c r="L104" s="57">
        <f>Odense!H105</f>
        <v>0</v>
      </c>
      <c r="M104" s="57">
        <f>Laks!H105</f>
        <v>0</v>
      </c>
      <c r="N104" s="57">
        <f>Assens!H105</f>
        <v>0</v>
      </c>
      <c r="O104" s="57">
        <f>Nyborg!H105</f>
        <v>0</v>
      </c>
      <c r="P104" s="57">
        <f>Nordfyn!H105</f>
        <v>0</v>
      </c>
      <c r="Q104" s="57">
        <f>Kerteminde!H105</f>
        <v>0</v>
      </c>
      <c r="R104" s="57">
        <f>'Særlige tilskud'!H105</f>
        <v>0</v>
      </c>
    </row>
    <row r="105" spans="1:18" x14ac:dyDescent="0.25">
      <c r="A105" s="47" t="s">
        <v>169</v>
      </c>
      <c r="B105" s="47" t="s">
        <v>170</v>
      </c>
      <c r="C105" s="50">
        <v>802300.14</v>
      </c>
      <c r="G105" s="50">
        <v>-802300.14</v>
      </c>
      <c r="H105" s="53">
        <f t="shared" si="3"/>
        <v>802300.14</v>
      </c>
      <c r="K105" s="57">
        <f>'Fælles adm.'!H106</f>
        <v>60131.56</v>
      </c>
      <c r="L105" s="57">
        <f>Odense!H106</f>
        <v>0</v>
      </c>
      <c r="M105" s="57">
        <f>Laks!H106</f>
        <v>0</v>
      </c>
      <c r="N105" s="57">
        <f>Assens!H106</f>
        <v>0</v>
      </c>
      <c r="O105" s="57">
        <f>Nyborg!H106</f>
        <v>173353.96</v>
      </c>
      <c r="P105" s="57">
        <f>Nordfyn!H106</f>
        <v>271353.73</v>
      </c>
      <c r="Q105" s="57">
        <f>Kerteminde!H106</f>
        <v>297460.89</v>
      </c>
      <c r="R105" s="57">
        <f>'Særlige tilskud'!H106</f>
        <v>0</v>
      </c>
    </row>
    <row r="106" spans="1:18" x14ac:dyDescent="0.25">
      <c r="A106" s="48" t="s">
        <v>171</v>
      </c>
      <c r="B106" s="48" t="s">
        <v>172</v>
      </c>
      <c r="C106" s="51">
        <v>-32623168.16</v>
      </c>
      <c r="D106" s="51">
        <v>-59993521.539999999</v>
      </c>
      <c r="E106" s="51">
        <v>45.62</v>
      </c>
      <c r="F106" s="51">
        <v>54.38</v>
      </c>
      <c r="G106" s="51">
        <v>-27370353.379999999</v>
      </c>
      <c r="H106" s="5">
        <f t="shared" si="3"/>
        <v>-57454737.050000004</v>
      </c>
      <c r="K106" s="8">
        <f>'Fælles adm.'!H107</f>
        <v>-7991541.4900000012</v>
      </c>
      <c r="L106" s="8">
        <f>Odense!H107</f>
        <v>-19462736.140000001</v>
      </c>
      <c r="M106" s="8">
        <f>Laks!H107</f>
        <v>-1371367</v>
      </c>
      <c r="N106" s="8">
        <f>Assens!H107</f>
        <v>-6411746.4699999997</v>
      </c>
      <c r="O106" s="8">
        <f>Nyborg!H107</f>
        <v>-6044343.4100000001</v>
      </c>
      <c r="P106" s="8">
        <f>Nordfyn!H107</f>
        <v>-7663059.9900000002</v>
      </c>
      <c r="Q106" s="8">
        <f>Kerteminde!H107</f>
        <v>-8509942.5499999989</v>
      </c>
      <c r="R106" s="8">
        <f>'Særlige tilskud'!H107</f>
        <v>0</v>
      </c>
    </row>
    <row r="107" spans="1:18" x14ac:dyDescent="0.25">
      <c r="A107" s="47" t="s">
        <v>12</v>
      </c>
      <c r="B107" s="47" t="s">
        <v>12</v>
      </c>
      <c r="H107" s="53"/>
      <c r="K107" s="57"/>
      <c r="L107" s="57"/>
      <c r="M107" s="57"/>
      <c r="N107" s="57"/>
      <c r="O107" s="57"/>
      <c r="P107" s="57"/>
      <c r="Q107" s="57"/>
      <c r="R107" s="57"/>
    </row>
    <row r="108" spans="1:18" x14ac:dyDescent="0.25">
      <c r="A108" s="48" t="s">
        <v>173</v>
      </c>
      <c r="B108" s="48" t="s">
        <v>174</v>
      </c>
      <c r="C108" s="51"/>
      <c r="D108" s="51"/>
      <c r="E108" s="51"/>
      <c r="F108" s="51"/>
      <c r="G108" s="51"/>
      <c r="H108" s="5"/>
      <c r="K108" s="57"/>
      <c r="L108" s="57"/>
      <c r="M108" s="57"/>
      <c r="N108" s="57"/>
      <c r="O108" s="57"/>
      <c r="P108" s="57"/>
      <c r="Q108" s="57"/>
      <c r="R108" s="57"/>
    </row>
    <row r="109" spans="1:18" x14ac:dyDescent="0.25">
      <c r="A109" s="47" t="s">
        <v>175</v>
      </c>
      <c r="B109" s="47" t="s">
        <v>174</v>
      </c>
      <c r="C109" s="50">
        <v>-5419886.8300000001</v>
      </c>
      <c r="D109" s="50">
        <v>-11851711.15</v>
      </c>
      <c r="E109" s="50">
        <v>54.27</v>
      </c>
      <c r="F109" s="50">
        <v>45.73</v>
      </c>
      <c r="G109" s="50">
        <v>-6431824.3200000003</v>
      </c>
      <c r="H109" s="53">
        <f>SUM(K109:R109)</f>
        <v>-11743873.509999998</v>
      </c>
      <c r="K109" s="57">
        <f>'Fælles adm.'!H110</f>
        <v>-1421267.31</v>
      </c>
      <c r="L109" s="57">
        <f>Odense!H110</f>
        <v>-4037656.88</v>
      </c>
      <c r="M109" s="57">
        <f>Laks!H110</f>
        <v>-233132.39</v>
      </c>
      <c r="N109" s="57">
        <f>Assens!H110</f>
        <v>-1317095.98</v>
      </c>
      <c r="O109" s="57">
        <f>Nyborg!H110</f>
        <v>-1279508.8500000001</v>
      </c>
      <c r="P109" s="57">
        <f>Nordfyn!H110</f>
        <v>-1636851.93</v>
      </c>
      <c r="Q109" s="57">
        <f>Kerteminde!H110</f>
        <v>-1818360.17</v>
      </c>
      <c r="R109" s="57">
        <f>'Særlige tilskud'!H110</f>
        <v>0</v>
      </c>
    </row>
    <row r="110" spans="1:18" x14ac:dyDescent="0.25">
      <c r="A110" s="47" t="s">
        <v>176</v>
      </c>
      <c r="B110" s="47" t="s">
        <v>177</v>
      </c>
      <c r="H110" s="53">
        <f>SUM(K110:R110)</f>
        <v>0</v>
      </c>
      <c r="K110" s="57">
        <f>'Fælles adm.'!H111</f>
        <v>0</v>
      </c>
      <c r="L110" s="57">
        <f>Odense!H111</f>
        <v>0</v>
      </c>
      <c r="M110" s="57">
        <f>Laks!H111</f>
        <v>0</v>
      </c>
      <c r="N110" s="57">
        <f>Assens!H111</f>
        <v>0</v>
      </c>
      <c r="O110" s="57">
        <f>Nyborg!H111</f>
        <v>0</v>
      </c>
      <c r="P110" s="57">
        <f>Nordfyn!H111</f>
        <v>0</v>
      </c>
      <c r="Q110" s="57">
        <f>Kerteminde!H111</f>
        <v>0</v>
      </c>
      <c r="R110" s="57">
        <f>'Særlige tilskud'!H111</f>
        <v>0</v>
      </c>
    </row>
    <row r="111" spans="1:18" x14ac:dyDescent="0.25">
      <c r="A111" s="48" t="s">
        <v>178</v>
      </c>
      <c r="B111" s="48" t="s">
        <v>179</v>
      </c>
      <c r="C111" s="51">
        <v>-5419886.8300000001</v>
      </c>
      <c r="D111" s="51">
        <v>-11851711.15</v>
      </c>
      <c r="E111" s="51">
        <v>54.27</v>
      </c>
      <c r="F111" s="51">
        <v>45.73</v>
      </c>
      <c r="G111" s="51">
        <v>-6431824.3200000003</v>
      </c>
      <c r="H111" s="5">
        <f>SUM(K111:R111)</f>
        <v>-11743873.509999998</v>
      </c>
      <c r="K111" s="8">
        <f>'Fælles adm.'!H112</f>
        <v>-1421267.31</v>
      </c>
      <c r="L111" s="8">
        <f>Odense!H112</f>
        <v>-4037656.88</v>
      </c>
      <c r="M111" s="8">
        <f>Laks!H112</f>
        <v>-233132.39</v>
      </c>
      <c r="N111" s="8">
        <f>Assens!H112</f>
        <v>-1317095.98</v>
      </c>
      <c r="O111" s="8">
        <f>Nyborg!H112</f>
        <v>-1279508.8500000001</v>
      </c>
      <c r="P111" s="8">
        <f>Nordfyn!H112</f>
        <v>-1636851.93</v>
      </c>
      <c r="Q111" s="8">
        <f>Kerteminde!H112</f>
        <v>-1818360.17</v>
      </c>
      <c r="R111" s="8">
        <f>'Særlige tilskud'!H112</f>
        <v>0</v>
      </c>
    </row>
    <row r="112" spans="1:18" x14ac:dyDescent="0.25">
      <c r="A112" s="47" t="s">
        <v>12</v>
      </c>
      <c r="B112" s="47" t="s">
        <v>12</v>
      </c>
      <c r="H112" s="53"/>
      <c r="K112" s="57"/>
      <c r="L112" s="57"/>
      <c r="M112" s="57"/>
      <c r="N112" s="57"/>
      <c r="O112" s="57"/>
      <c r="P112" s="57"/>
      <c r="Q112" s="57"/>
      <c r="R112" s="57"/>
    </row>
    <row r="113" spans="1:18" x14ac:dyDescent="0.25">
      <c r="A113" s="48" t="s">
        <v>180</v>
      </c>
      <c r="B113" s="48" t="s">
        <v>181</v>
      </c>
      <c r="C113" s="51"/>
      <c r="D113" s="51"/>
      <c r="E113" s="51"/>
      <c r="F113" s="51"/>
      <c r="G113" s="51"/>
      <c r="H113" s="5"/>
      <c r="K113" s="57"/>
      <c r="L113" s="57"/>
      <c r="M113" s="57"/>
      <c r="N113" s="57"/>
      <c r="O113" s="57"/>
      <c r="P113" s="57"/>
      <c r="Q113" s="57"/>
      <c r="R113" s="57"/>
    </row>
    <row r="114" spans="1:18" x14ac:dyDescent="0.25">
      <c r="A114" s="47" t="s">
        <v>182</v>
      </c>
      <c r="B114" s="47" t="s">
        <v>183</v>
      </c>
      <c r="C114" s="50">
        <v>3633580.92</v>
      </c>
      <c r="D114" s="50">
        <v>5075121</v>
      </c>
      <c r="E114" s="50">
        <v>28.4</v>
      </c>
      <c r="F114" s="50">
        <v>71.599999999999994</v>
      </c>
      <c r="G114" s="50">
        <v>1441540.08</v>
      </c>
      <c r="H114" s="53">
        <f t="shared" ref="H114:H122" si="4">SUM(K114:R114)</f>
        <v>7267161.8399999999</v>
      </c>
      <c r="K114" s="57">
        <f>'Fælles adm.'!H115</f>
        <v>2793160.82</v>
      </c>
      <c r="L114" s="57">
        <f>Odense!H115</f>
        <v>2483935.6</v>
      </c>
      <c r="M114" s="57">
        <f>Laks!H115</f>
        <v>0</v>
      </c>
      <c r="N114" s="57">
        <f>Assens!H115</f>
        <v>906081.68</v>
      </c>
      <c r="O114" s="57">
        <f>Nyborg!H115</f>
        <v>183570.26</v>
      </c>
      <c r="P114" s="57">
        <f>Nordfyn!H115</f>
        <v>301472.32</v>
      </c>
      <c r="Q114" s="57">
        <f>Kerteminde!H115</f>
        <v>598941.16</v>
      </c>
      <c r="R114" s="57">
        <f>'Særlige tilskud'!H115</f>
        <v>0</v>
      </c>
    </row>
    <row r="115" spans="1:18" x14ac:dyDescent="0.25">
      <c r="A115" s="47" t="s">
        <v>184</v>
      </c>
      <c r="B115" s="47" t="s">
        <v>185</v>
      </c>
      <c r="C115" s="50">
        <v>1000952.81</v>
      </c>
      <c r="G115" s="50">
        <v>-1000952.81</v>
      </c>
      <c r="H115" s="53">
        <f t="shared" si="4"/>
        <v>1000952.81</v>
      </c>
      <c r="K115" s="57">
        <f>'Fælles adm.'!H116</f>
        <v>277906</v>
      </c>
      <c r="L115" s="57">
        <f>Odense!H116</f>
        <v>227770</v>
      </c>
      <c r="M115" s="57">
        <f>Laks!H116</f>
        <v>0</v>
      </c>
      <c r="N115" s="57">
        <f>Assens!H116</f>
        <v>52438</v>
      </c>
      <c r="O115" s="57">
        <f>Nyborg!H116</f>
        <v>153686</v>
      </c>
      <c r="P115" s="57">
        <f>Nordfyn!H116</f>
        <v>59872</v>
      </c>
      <c r="Q115" s="57">
        <f>Kerteminde!H116</f>
        <v>229280.81</v>
      </c>
      <c r="R115" s="57">
        <f>'Særlige tilskud'!H116</f>
        <v>0</v>
      </c>
    </row>
    <row r="116" spans="1:18" x14ac:dyDescent="0.25">
      <c r="A116" s="47" t="s">
        <v>186</v>
      </c>
      <c r="B116" s="47" t="s">
        <v>187</v>
      </c>
      <c r="H116" s="53">
        <f t="shared" si="4"/>
        <v>0</v>
      </c>
      <c r="K116" s="57">
        <f>'Fælles adm.'!H117</f>
        <v>0</v>
      </c>
      <c r="L116" s="57">
        <f>Odense!H117</f>
        <v>0</v>
      </c>
      <c r="M116" s="57">
        <f>Laks!H117</f>
        <v>0</v>
      </c>
      <c r="N116" s="57">
        <f>Assens!H117</f>
        <v>0</v>
      </c>
      <c r="O116" s="57">
        <f>Nyborg!H117</f>
        <v>0</v>
      </c>
      <c r="P116" s="57">
        <f>Nordfyn!H117</f>
        <v>0</v>
      </c>
      <c r="Q116" s="57">
        <f>Kerteminde!H117</f>
        <v>0</v>
      </c>
      <c r="R116" s="57">
        <f>'Særlige tilskud'!H117</f>
        <v>0</v>
      </c>
    </row>
    <row r="117" spans="1:18" x14ac:dyDescent="0.25">
      <c r="A117" s="47" t="s">
        <v>188</v>
      </c>
      <c r="B117" s="47" t="s">
        <v>189</v>
      </c>
      <c r="C117" s="50">
        <v>130088.37</v>
      </c>
      <c r="G117" s="50">
        <v>-130088.37</v>
      </c>
      <c r="H117" s="53">
        <f t="shared" si="4"/>
        <v>130088.37</v>
      </c>
      <c r="K117" s="57">
        <f>'Fælles adm.'!H118</f>
        <v>5705.86</v>
      </c>
      <c r="L117" s="57">
        <f>Odense!H118</f>
        <v>26946.71</v>
      </c>
      <c r="M117" s="57">
        <f>Laks!H118</f>
        <v>0</v>
      </c>
      <c r="N117" s="57">
        <f>Assens!H118</f>
        <v>0</v>
      </c>
      <c r="O117" s="57">
        <f>Nyborg!H118</f>
        <v>0</v>
      </c>
      <c r="P117" s="57">
        <f>Nordfyn!H118</f>
        <v>0</v>
      </c>
      <c r="Q117" s="57">
        <f>Kerteminde!H118</f>
        <v>97435.8</v>
      </c>
      <c r="R117" s="57">
        <f>'Særlige tilskud'!H118</f>
        <v>0</v>
      </c>
    </row>
    <row r="118" spans="1:18" x14ac:dyDescent="0.25">
      <c r="A118" s="47" t="s">
        <v>190</v>
      </c>
      <c r="B118" s="47" t="s">
        <v>191</v>
      </c>
      <c r="H118" s="53">
        <f t="shared" si="4"/>
        <v>0</v>
      </c>
      <c r="K118" s="57">
        <f>'Fælles adm.'!H119</f>
        <v>0</v>
      </c>
      <c r="L118" s="57">
        <f>Odense!H119</f>
        <v>0</v>
      </c>
      <c r="M118" s="57">
        <f>Laks!H119</f>
        <v>0</v>
      </c>
      <c r="N118" s="57">
        <f>Assens!H119</f>
        <v>0</v>
      </c>
      <c r="O118" s="57">
        <f>Nyborg!H119</f>
        <v>0</v>
      </c>
      <c r="P118" s="57">
        <f>Nordfyn!H119</f>
        <v>0</v>
      </c>
      <c r="Q118" s="57">
        <f>Kerteminde!H119</f>
        <v>0</v>
      </c>
      <c r="R118" s="57">
        <f>'Særlige tilskud'!H119</f>
        <v>0</v>
      </c>
    </row>
    <row r="119" spans="1:18" x14ac:dyDescent="0.25">
      <c r="A119" s="47" t="s">
        <v>192</v>
      </c>
      <c r="B119" s="47" t="s">
        <v>193</v>
      </c>
      <c r="C119" s="50">
        <v>93154.92</v>
      </c>
      <c r="G119" s="50">
        <v>-93154.92</v>
      </c>
      <c r="H119" s="53">
        <f t="shared" si="4"/>
        <v>93154.92</v>
      </c>
      <c r="K119" s="57">
        <f>'Fælles adm.'!H120</f>
        <v>93154.92</v>
      </c>
      <c r="L119" s="57">
        <f>Odense!H120</f>
        <v>0</v>
      </c>
      <c r="M119" s="57">
        <f>Laks!H120</f>
        <v>0</v>
      </c>
      <c r="N119" s="57">
        <f>Assens!H120</f>
        <v>0</v>
      </c>
      <c r="O119" s="57">
        <f>Nyborg!H120</f>
        <v>0</v>
      </c>
      <c r="P119" s="57">
        <f>Nordfyn!H120</f>
        <v>0</v>
      </c>
      <c r="Q119" s="57">
        <f>Kerteminde!H120</f>
        <v>0</v>
      </c>
      <c r="R119" s="57">
        <f>'Særlige tilskud'!H120</f>
        <v>0</v>
      </c>
    </row>
    <row r="120" spans="1:18" x14ac:dyDescent="0.25">
      <c r="A120" s="47" t="s">
        <v>194</v>
      </c>
      <c r="B120" s="47" t="s">
        <v>195</v>
      </c>
      <c r="C120" s="50">
        <v>121482.11</v>
      </c>
      <c r="G120" s="50">
        <v>-121482.11</v>
      </c>
      <c r="H120" s="53">
        <f t="shared" si="4"/>
        <v>121482.11</v>
      </c>
      <c r="K120" s="57">
        <f>'Fælles adm.'!H121</f>
        <v>0</v>
      </c>
      <c r="L120" s="57">
        <f>Odense!H121</f>
        <v>121482.11</v>
      </c>
      <c r="M120" s="57">
        <f>Laks!H121</f>
        <v>0</v>
      </c>
      <c r="N120" s="57">
        <f>Assens!H121</f>
        <v>0</v>
      </c>
      <c r="O120" s="57">
        <f>Nyborg!H121</f>
        <v>0</v>
      </c>
      <c r="P120" s="57">
        <f>Nordfyn!H121</f>
        <v>0</v>
      </c>
      <c r="Q120" s="57">
        <f>Kerteminde!H121</f>
        <v>0</v>
      </c>
      <c r="R120" s="57">
        <f>'Særlige tilskud'!H121</f>
        <v>0</v>
      </c>
    </row>
    <row r="121" spans="1:18" x14ac:dyDescent="0.25">
      <c r="A121" s="48" t="s">
        <v>196</v>
      </c>
      <c r="B121" s="48" t="s">
        <v>197</v>
      </c>
      <c r="C121" s="51">
        <v>4979259.13</v>
      </c>
      <c r="D121" s="51">
        <v>5075121</v>
      </c>
      <c r="E121" s="51">
        <v>1.89</v>
      </c>
      <c r="F121" s="51">
        <v>98.11</v>
      </c>
      <c r="G121" s="51">
        <v>95861.87</v>
      </c>
      <c r="H121" s="5">
        <f t="shared" si="4"/>
        <v>8612840.0499999989</v>
      </c>
      <c r="K121" s="8">
        <f>'Fælles adm.'!H122</f>
        <v>3169927.5999999996</v>
      </c>
      <c r="L121" s="8">
        <f>Odense!H122</f>
        <v>2860134.42</v>
      </c>
      <c r="M121" s="8">
        <f>Laks!H122</f>
        <v>0</v>
      </c>
      <c r="N121" s="8">
        <f>Assens!H122</f>
        <v>958519.68</v>
      </c>
      <c r="O121" s="8">
        <f>Nyborg!H122</f>
        <v>337256.26</v>
      </c>
      <c r="P121" s="8">
        <f>Nordfyn!H122</f>
        <v>361344.32</v>
      </c>
      <c r="Q121" s="8">
        <f>Kerteminde!H122</f>
        <v>925657.77</v>
      </c>
      <c r="R121" s="8">
        <f>'Særlige tilskud'!H122</f>
        <v>0</v>
      </c>
    </row>
    <row r="122" spans="1:18" x14ac:dyDescent="0.25">
      <c r="A122" s="48" t="s">
        <v>198</v>
      </c>
      <c r="B122" s="48" t="s">
        <v>199</v>
      </c>
      <c r="C122" s="51">
        <v>-33063795.859999999</v>
      </c>
      <c r="D122" s="51">
        <v>-66770111.689999998</v>
      </c>
      <c r="E122" s="51">
        <v>50.48</v>
      </c>
      <c r="F122" s="51">
        <v>49.52</v>
      </c>
      <c r="G122" s="51">
        <v>-33706315.829999998</v>
      </c>
      <c r="H122" s="5">
        <f t="shared" si="4"/>
        <v>-60585770.510000005</v>
      </c>
      <c r="K122" s="8">
        <f>'Fælles adm.'!H123</f>
        <v>-6242881.2000000011</v>
      </c>
      <c r="L122" s="8">
        <f>Odense!H123</f>
        <v>-20640258.600000001</v>
      </c>
      <c r="M122" s="8">
        <f>Laks!H123</f>
        <v>-1604499.3900000001</v>
      </c>
      <c r="N122" s="8">
        <f>Assens!H123</f>
        <v>-6770322.7699999996</v>
      </c>
      <c r="O122" s="8">
        <f>Nyborg!H123</f>
        <v>-6986596</v>
      </c>
      <c r="P122" s="8">
        <f>Nordfyn!H123</f>
        <v>-8938567.5999999996</v>
      </c>
      <c r="Q122" s="8">
        <f>Kerteminde!H123</f>
        <v>-9402644.9499999993</v>
      </c>
      <c r="R122" s="8">
        <f>'Særlige tilskud'!H123</f>
        <v>0</v>
      </c>
    </row>
    <row r="123" spans="1:18" x14ac:dyDescent="0.25">
      <c r="A123" s="47" t="s">
        <v>12</v>
      </c>
      <c r="B123" s="47" t="s">
        <v>12</v>
      </c>
      <c r="H123" s="53"/>
      <c r="K123" s="57"/>
      <c r="L123" s="57"/>
      <c r="M123" s="57"/>
      <c r="N123" s="57"/>
      <c r="O123" s="57"/>
      <c r="P123" s="57"/>
      <c r="Q123" s="57"/>
      <c r="R123" s="57"/>
    </row>
    <row r="124" spans="1:18" x14ac:dyDescent="0.25">
      <c r="A124" s="48" t="s">
        <v>200</v>
      </c>
      <c r="B124" s="48" t="s">
        <v>201</v>
      </c>
      <c r="C124" s="51">
        <v>-33523026</v>
      </c>
      <c r="D124" s="51">
        <v>-67821717.689999998</v>
      </c>
      <c r="E124" s="51">
        <v>50.57</v>
      </c>
      <c r="F124" s="51">
        <v>49.43</v>
      </c>
      <c r="G124" s="51">
        <v>-34298691.689999998</v>
      </c>
      <c r="H124" s="5">
        <f>SUM(K124:R124)</f>
        <v>-61448036.320000008</v>
      </c>
      <c r="K124" s="8">
        <f>'Fælles adm.'!H125</f>
        <v>-6254265.040000001</v>
      </c>
      <c r="L124" s="8">
        <f>Odense!H125</f>
        <v>-20653803.470000003</v>
      </c>
      <c r="M124" s="8">
        <f>Laks!H125</f>
        <v>-1609995.79</v>
      </c>
      <c r="N124" s="8">
        <f>Assens!H125</f>
        <v>-6938722.2199999997</v>
      </c>
      <c r="O124" s="8">
        <f>Nyborg!H125</f>
        <v>-7153450.25</v>
      </c>
      <c r="P124" s="8">
        <f>Nordfyn!H125</f>
        <v>-9251894.5999999996</v>
      </c>
      <c r="Q124" s="8">
        <f>Kerteminde!H125</f>
        <v>-9585904.9499999993</v>
      </c>
      <c r="R124" s="8">
        <f>'Særlige tilskud'!H125</f>
        <v>0</v>
      </c>
    </row>
    <row r="125" spans="1:18" x14ac:dyDescent="0.25">
      <c r="A125" s="47" t="s">
        <v>12</v>
      </c>
      <c r="B125" s="47" t="s">
        <v>12</v>
      </c>
      <c r="H125" s="53"/>
      <c r="K125" s="57"/>
      <c r="L125" s="57"/>
      <c r="M125" s="57"/>
      <c r="N125" s="57"/>
      <c r="O125" s="57"/>
      <c r="P125" s="57"/>
      <c r="Q125" s="57"/>
      <c r="R125" s="57"/>
    </row>
    <row r="126" spans="1:18" x14ac:dyDescent="0.25">
      <c r="A126" s="48" t="s">
        <v>202</v>
      </c>
      <c r="B126" s="48" t="s">
        <v>203</v>
      </c>
      <c r="C126" s="51">
        <v>16726808.02</v>
      </c>
      <c r="D126" s="51">
        <v>28765554.489999998</v>
      </c>
      <c r="E126" s="51">
        <v>41.85</v>
      </c>
      <c r="F126" s="51">
        <v>58.15</v>
      </c>
      <c r="G126" s="51">
        <v>12038746.470000001</v>
      </c>
      <c r="H126" s="5">
        <f>SUM(K126:R126)</f>
        <v>24615818.139999993</v>
      </c>
      <c r="K126" s="8">
        <f>'Fælles adm.'!H127</f>
        <v>-4009372.540000001</v>
      </c>
      <c r="L126" s="8">
        <f>Odense!H127</f>
        <v>7193678.8649521284</v>
      </c>
      <c r="M126" s="8">
        <f>Laks!H127</f>
        <v>1637837.21</v>
      </c>
      <c r="N126" s="8">
        <f>Assens!H127</f>
        <v>3778532.7519312045</v>
      </c>
      <c r="O126" s="8">
        <f>Nyborg!H127</f>
        <v>2322810.7056021392</v>
      </c>
      <c r="P126" s="8">
        <f>Nordfyn!H127</f>
        <v>2058199.7622131202</v>
      </c>
      <c r="Q126" s="8">
        <f>Kerteminde!H127</f>
        <v>1549999.0153014027</v>
      </c>
      <c r="R126" s="8">
        <f>'Særlige tilskud'!H127</f>
        <v>10084132.370000001</v>
      </c>
    </row>
    <row r="127" spans="1:18" x14ac:dyDescent="0.25">
      <c r="A127" s="47" t="s">
        <v>12</v>
      </c>
      <c r="B127" s="47" t="s">
        <v>12</v>
      </c>
      <c r="H127" s="53"/>
      <c r="K127" s="57"/>
      <c r="L127" s="57"/>
      <c r="M127" s="57"/>
      <c r="N127" s="57"/>
      <c r="O127" s="57"/>
      <c r="P127" s="57"/>
      <c r="Q127" s="57"/>
      <c r="R127" s="57"/>
    </row>
    <row r="128" spans="1:18" x14ac:dyDescent="0.25">
      <c r="A128" s="48" t="s">
        <v>204</v>
      </c>
      <c r="B128" s="48" t="s">
        <v>205</v>
      </c>
      <c r="C128" s="51"/>
      <c r="D128" s="51"/>
      <c r="E128" s="51"/>
      <c r="F128" s="51"/>
      <c r="G128" s="51"/>
      <c r="H128" s="5"/>
      <c r="K128" s="57"/>
      <c r="L128" s="57"/>
      <c r="M128" s="57"/>
      <c r="N128" s="57"/>
      <c r="O128" s="57"/>
      <c r="P128" s="57"/>
      <c r="Q128" s="57"/>
      <c r="R128" s="57"/>
    </row>
    <row r="129" spans="1:18" x14ac:dyDescent="0.25">
      <c r="A129" s="47" t="s">
        <v>206</v>
      </c>
      <c r="B129" s="47" t="s">
        <v>207</v>
      </c>
      <c r="C129" s="50">
        <v>67544.899999999994</v>
      </c>
      <c r="D129" s="50">
        <v>580143.63</v>
      </c>
      <c r="E129" s="50">
        <v>88.36</v>
      </c>
      <c r="F129" s="50">
        <v>11.64</v>
      </c>
      <c r="G129" s="50">
        <v>512598.73</v>
      </c>
      <c r="H129" s="53">
        <f t="shared" ref="H129:H135" si="5">SUM(K129:R129)</f>
        <v>580143.63</v>
      </c>
      <c r="K129" s="57">
        <f>'Fælles adm.'!H130</f>
        <v>42259.63</v>
      </c>
      <c r="L129" s="57">
        <f>Odense!H130</f>
        <v>165880</v>
      </c>
      <c r="M129" s="57">
        <f>Laks!H130</f>
        <v>0</v>
      </c>
      <c r="N129" s="57">
        <f>Assens!H130</f>
        <v>116100</v>
      </c>
      <c r="O129" s="57">
        <f>Nyborg!H130</f>
        <v>50000</v>
      </c>
      <c r="P129" s="57">
        <f>Nordfyn!H130</f>
        <v>103200</v>
      </c>
      <c r="Q129" s="57">
        <f>Kerteminde!H130</f>
        <v>102704</v>
      </c>
      <c r="R129" s="57">
        <f>'Særlige tilskud'!H130</f>
        <v>0</v>
      </c>
    </row>
    <row r="130" spans="1:18" x14ac:dyDescent="0.25">
      <c r="A130" s="47" t="s">
        <v>208</v>
      </c>
      <c r="B130" s="47" t="s">
        <v>209</v>
      </c>
      <c r="C130" s="50">
        <v>1103518.27</v>
      </c>
      <c r="D130" s="50">
        <v>83204.73</v>
      </c>
      <c r="E130" s="50">
        <v>-1226.27</v>
      </c>
      <c r="F130" s="50">
        <v>1326.27</v>
      </c>
      <c r="G130" s="50">
        <v>-1020313.54</v>
      </c>
      <c r="H130" s="53">
        <f t="shared" si="5"/>
        <v>1103518.2700000005</v>
      </c>
      <c r="K130" s="57">
        <f>'Fælles adm.'!H131</f>
        <v>1066848.6200000001</v>
      </c>
      <c r="L130" s="57">
        <f>Odense!H131</f>
        <v>20501.36</v>
      </c>
      <c r="M130" s="57">
        <f>Laks!H131</f>
        <v>0</v>
      </c>
      <c r="N130" s="57">
        <f>Assens!H131</f>
        <v>0</v>
      </c>
      <c r="O130" s="57">
        <f>Nyborg!H131</f>
        <v>6748.84</v>
      </c>
      <c r="P130" s="57">
        <f>Nordfyn!H131</f>
        <v>6575.62</v>
      </c>
      <c r="Q130" s="57">
        <f>Kerteminde!H131</f>
        <v>2843.83</v>
      </c>
      <c r="R130" s="57">
        <f>'Særlige tilskud'!H131</f>
        <v>0</v>
      </c>
    </row>
    <row r="131" spans="1:18" x14ac:dyDescent="0.25">
      <c r="A131" s="47" t="s">
        <v>210</v>
      </c>
      <c r="B131" s="47" t="s">
        <v>211</v>
      </c>
      <c r="D131" s="50">
        <v>150000</v>
      </c>
      <c r="E131" s="50">
        <v>100</v>
      </c>
      <c r="G131" s="50">
        <v>150000</v>
      </c>
      <c r="H131" s="53">
        <f t="shared" si="5"/>
        <v>0</v>
      </c>
      <c r="K131" s="57">
        <f>'Fælles adm.'!H132</f>
        <v>0</v>
      </c>
      <c r="L131" s="57">
        <f>Odense!H132</f>
        <v>0</v>
      </c>
      <c r="M131" s="57">
        <f>Laks!H132</f>
        <v>0</v>
      </c>
      <c r="N131" s="57">
        <f>Assens!H132</f>
        <v>0</v>
      </c>
      <c r="O131" s="57">
        <f>Nyborg!H132</f>
        <v>0</v>
      </c>
      <c r="P131" s="57">
        <f>Nordfyn!H132</f>
        <v>0</v>
      </c>
      <c r="Q131" s="57">
        <f>Kerteminde!H132</f>
        <v>0</v>
      </c>
      <c r="R131" s="57">
        <f>'Særlige tilskud'!H132</f>
        <v>0</v>
      </c>
    </row>
    <row r="132" spans="1:18" x14ac:dyDescent="0.25">
      <c r="A132" s="47" t="s">
        <v>212</v>
      </c>
      <c r="B132" s="47" t="s">
        <v>213</v>
      </c>
      <c r="H132" s="53">
        <f t="shared" si="5"/>
        <v>0</v>
      </c>
      <c r="K132" s="57">
        <f>'Fælles adm.'!H133</f>
        <v>0</v>
      </c>
      <c r="L132" s="57">
        <f>Odense!H133</f>
        <v>0</v>
      </c>
      <c r="M132" s="57">
        <f>Laks!H133</f>
        <v>0</v>
      </c>
      <c r="N132" s="57">
        <f>Assens!H133</f>
        <v>0</v>
      </c>
      <c r="O132" s="57">
        <f>Nyborg!H133</f>
        <v>0</v>
      </c>
      <c r="P132" s="57">
        <f>Nordfyn!H133</f>
        <v>0</v>
      </c>
      <c r="Q132" s="57">
        <f>Kerteminde!H133</f>
        <v>0</v>
      </c>
      <c r="R132" s="57">
        <f>'Særlige tilskud'!H133</f>
        <v>0</v>
      </c>
    </row>
    <row r="133" spans="1:18" x14ac:dyDescent="0.25">
      <c r="A133" s="47" t="s">
        <v>214</v>
      </c>
      <c r="B133" s="47" t="s">
        <v>215</v>
      </c>
      <c r="H133" s="53">
        <f t="shared" si="5"/>
        <v>0</v>
      </c>
      <c r="K133" s="57">
        <f>'Fælles adm.'!H134</f>
        <v>0</v>
      </c>
      <c r="L133" s="57">
        <f>Odense!H134</f>
        <v>0</v>
      </c>
      <c r="M133" s="57">
        <f>Laks!H134</f>
        <v>0</v>
      </c>
      <c r="N133" s="57">
        <f>Assens!H134</f>
        <v>0</v>
      </c>
      <c r="O133" s="57">
        <f>Nyborg!H134</f>
        <v>0</v>
      </c>
      <c r="P133" s="57">
        <f>Nordfyn!H134</f>
        <v>0</v>
      </c>
      <c r="Q133" s="57">
        <f>Kerteminde!H134</f>
        <v>0</v>
      </c>
      <c r="R133" s="57">
        <f>'Særlige tilskud'!H134</f>
        <v>0</v>
      </c>
    </row>
    <row r="134" spans="1:18" x14ac:dyDescent="0.25">
      <c r="A134" s="47" t="s">
        <v>216</v>
      </c>
      <c r="B134" s="47" t="s">
        <v>217</v>
      </c>
      <c r="C134" s="50">
        <v>15000</v>
      </c>
      <c r="G134" s="50">
        <v>-15000</v>
      </c>
      <c r="H134" s="53">
        <f t="shared" si="5"/>
        <v>15000</v>
      </c>
      <c r="K134" s="57">
        <f>'Fælles adm.'!H135</f>
        <v>0</v>
      </c>
      <c r="L134" s="57">
        <f>Odense!H135</f>
        <v>0</v>
      </c>
      <c r="M134" s="57">
        <f>Laks!H135</f>
        <v>0</v>
      </c>
      <c r="N134" s="57">
        <f>Assens!H135</f>
        <v>0</v>
      </c>
      <c r="O134" s="57">
        <f>Nyborg!H135</f>
        <v>0</v>
      </c>
      <c r="P134" s="57">
        <f>Nordfyn!H135</f>
        <v>15000</v>
      </c>
      <c r="Q134" s="57">
        <f>Kerteminde!H135</f>
        <v>0</v>
      </c>
      <c r="R134" s="57">
        <f>'Særlige tilskud'!H135</f>
        <v>0</v>
      </c>
    </row>
    <row r="135" spans="1:18" x14ac:dyDescent="0.25">
      <c r="A135" s="48" t="s">
        <v>218</v>
      </c>
      <c r="B135" s="48" t="s">
        <v>219</v>
      </c>
      <c r="C135" s="51">
        <v>1186063.17</v>
      </c>
      <c r="D135" s="51">
        <v>813348.36</v>
      </c>
      <c r="E135" s="51">
        <v>-45.82</v>
      </c>
      <c r="F135" s="51">
        <v>145.82</v>
      </c>
      <c r="G135" s="51">
        <v>-372714.81</v>
      </c>
      <c r="H135" s="5">
        <f t="shared" si="5"/>
        <v>1698661.9</v>
      </c>
      <c r="K135" s="8">
        <f>'Fælles adm.'!H136</f>
        <v>1109108.25</v>
      </c>
      <c r="L135" s="8">
        <f>Odense!H136</f>
        <v>186381.36</v>
      </c>
      <c r="M135" s="8">
        <f>Laks!H136</f>
        <v>0</v>
      </c>
      <c r="N135" s="8">
        <f>Assens!H136</f>
        <v>116100</v>
      </c>
      <c r="O135" s="8">
        <f>Nyborg!H136</f>
        <v>56748.84</v>
      </c>
      <c r="P135" s="8">
        <f>Nordfyn!H136</f>
        <v>124775.62</v>
      </c>
      <c r="Q135" s="8">
        <f>Kerteminde!H136</f>
        <v>105547.83</v>
      </c>
      <c r="R135" s="8">
        <f>'Særlige tilskud'!H136</f>
        <v>0</v>
      </c>
    </row>
    <row r="136" spans="1:18" x14ac:dyDescent="0.25">
      <c r="A136" s="47" t="s">
        <v>12</v>
      </c>
      <c r="B136" s="47" t="s">
        <v>12</v>
      </c>
      <c r="H136" s="53"/>
      <c r="K136" s="57"/>
      <c r="L136" s="57"/>
      <c r="M136" s="57"/>
      <c r="N136" s="57"/>
      <c r="O136" s="57"/>
      <c r="P136" s="57"/>
      <c r="Q136" s="57"/>
      <c r="R136" s="57"/>
    </row>
    <row r="137" spans="1:18" x14ac:dyDescent="0.25">
      <c r="A137" s="48" t="s">
        <v>220</v>
      </c>
      <c r="B137" s="48" t="s">
        <v>221</v>
      </c>
      <c r="C137" s="51"/>
      <c r="D137" s="51"/>
      <c r="E137" s="51"/>
      <c r="F137" s="51"/>
      <c r="G137" s="51"/>
      <c r="H137" s="5"/>
      <c r="K137" s="57"/>
      <c r="L137" s="57"/>
      <c r="M137" s="57"/>
      <c r="N137" s="57"/>
      <c r="O137" s="57"/>
      <c r="P137" s="57"/>
      <c r="Q137" s="57"/>
      <c r="R137" s="57"/>
    </row>
    <row r="138" spans="1:18" x14ac:dyDescent="0.25">
      <c r="A138" s="47" t="s">
        <v>222</v>
      </c>
      <c r="B138" s="47" t="s">
        <v>223</v>
      </c>
      <c r="D138" s="50">
        <v>-4000000</v>
      </c>
      <c r="E138" s="50">
        <v>100</v>
      </c>
      <c r="G138" s="50">
        <v>-4000000</v>
      </c>
      <c r="H138" s="53">
        <f t="shared" ref="H138:H150" si="6">SUM(K138:R138)</f>
        <v>-2000000</v>
      </c>
      <c r="K138" s="57">
        <f>'Fælles adm.'!H139</f>
        <v>0</v>
      </c>
      <c r="L138" s="57">
        <f>Odense!H139</f>
        <v>0</v>
      </c>
      <c r="M138" s="57">
        <f>Laks!H139</f>
        <v>0</v>
      </c>
      <c r="N138" s="57">
        <f>Assens!H139</f>
        <v>0</v>
      </c>
      <c r="O138" s="57">
        <f>Nyborg!H139</f>
        <v>0</v>
      </c>
      <c r="P138" s="57">
        <f>Nordfyn!H139</f>
        <v>0</v>
      </c>
      <c r="Q138" s="57">
        <f>Kerteminde!H139</f>
        <v>0</v>
      </c>
      <c r="R138" s="57">
        <f>'Særlige tilskud'!H139</f>
        <v>-2000000</v>
      </c>
    </row>
    <row r="139" spans="1:18" x14ac:dyDescent="0.25">
      <c r="A139" s="47" t="s">
        <v>224</v>
      </c>
      <c r="B139" s="47" t="s">
        <v>225</v>
      </c>
      <c r="H139" s="53">
        <f t="shared" si="6"/>
        <v>0</v>
      </c>
      <c r="K139" s="57">
        <f>'Fælles adm.'!H140</f>
        <v>0</v>
      </c>
      <c r="L139" s="57">
        <f>Odense!H140</f>
        <v>0</v>
      </c>
      <c r="M139" s="57">
        <f>Laks!H140</f>
        <v>0</v>
      </c>
      <c r="N139" s="57">
        <f>Assens!H140</f>
        <v>0</v>
      </c>
      <c r="O139" s="57">
        <f>Nyborg!H140</f>
        <v>0</v>
      </c>
      <c r="P139" s="57">
        <f>Nordfyn!H140</f>
        <v>0</v>
      </c>
      <c r="Q139" s="57">
        <f>Kerteminde!H140</f>
        <v>0</v>
      </c>
      <c r="R139" s="57">
        <f>'Særlige tilskud'!H140</f>
        <v>0</v>
      </c>
    </row>
    <row r="140" spans="1:18" x14ac:dyDescent="0.25">
      <c r="A140" s="47" t="s">
        <v>226</v>
      </c>
      <c r="B140" s="47" t="s">
        <v>227</v>
      </c>
      <c r="C140" s="50">
        <v>-2035138.09</v>
      </c>
      <c r="D140" s="50">
        <v>-3926274.64</v>
      </c>
      <c r="E140" s="50">
        <v>48.17</v>
      </c>
      <c r="F140" s="50">
        <v>51.83</v>
      </c>
      <c r="G140" s="50">
        <v>-1891136.55</v>
      </c>
      <c r="H140" s="53">
        <f t="shared" si="6"/>
        <v>-9974209.9399999976</v>
      </c>
      <c r="K140" s="57">
        <f>'Fælles adm.'!H141</f>
        <v>0</v>
      </c>
      <c r="L140" s="57">
        <f>Odense!H141</f>
        <v>-4288910.2741999989</v>
      </c>
      <c r="M140" s="57">
        <f>Laks!H141</f>
        <v>0</v>
      </c>
      <c r="N140" s="57">
        <f>Assens!H141</f>
        <v>-1396389.3915999997</v>
      </c>
      <c r="O140" s="57">
        <f>Nyborg!H141</f>
        <v>-1496131.4909999997</v>
      </c>
      <c r="P140" s="57">
        <f>Nordfyn!H141</f>
        <v>-1496131.4909999997</v>
      </c>
      <c r="Q140" s="57">
        <f>Kerteminde!H141</f>
        <v>-1296647.2921999998</v>
      </c>
      <c r="R140" s="57">
        <f>'Særlige tilskud'!H141</f>
        <v>0</v>
      </c>
    </row>
    <row r="141" spans="1:18" x14ac:dyDescent="0.25">
      <c r="A141" s="47" t="s">
        <v>228</v>
      </c>
      <c r="B141" s="47" t="s">
        <v>229</v>
      </c>
      <c r="C141" s="50">
        <v>2035138.09</v>
      </c>
      <c r="D141" s="50">
        <v>3926274.64</v>
      </c>
      <c r="E141" s="50">
        <v>48.17</v>
      </c>
      <c r="F141" s="50">
        <v>51.83</v>
      </c>
      <c r="G141" s="50">
        <v>1891136.55</v>
      </c>
      <c r="H141" s="53">
        <f t="shared" si="6"/>
        <v>9974209.9399999976</v>
      </c>
      <c r="K141" s="57">
        <f>'Fælles adm.'!H142</f>
        <v>9974209.9399999976</v>
      </c>
      <c r="L141" s="57">
        <f>Odense!H142</f>
        <v>0</v>
      </c>
      <c r="M141" s="57">
        <f>Laks!H142</f>
        <v>0</v>
      </c>
      <c r="N141" s="57">
        <f>Assens!H142</f>
        <v>0</v>
      </c>
      <c r="O141" s="57">
        <f>Nyborg!H142</f>
        <v>0</v>
      </c>
      <c r="P141" s="57">
        <f>Nordfyn!H142</f>
        <v>0</v>
      </c>
      <c r="Q141" s="57">
        <f>Kerteminde!H142</f>
        <v>0</v>
      </c>
      <c r="R141" s="57">
        <f>'Særlige tilskud'!H142</f>
        <v>0</v>
      </c>
    </row>
    <row r="142" spans="1:18" x14ac:dyDescent="0.25">
      <c r="A142" s="47" t="s">
        <v>230</v>
      </c>
      <c r="B142" s="47" t="s">
        <v>231</v>
      </c>
      <c r="C142" s="50">
        <v>-4140.8</v>
      </c>
      <c r="D142" s="50">
        <v>-7000</v>
      </c>
      <c r="E142" s="50">
        <v>40.85</v>
      </c>
      <c r="F142" s="50">
        <v>59.15</v>
      </c>
      <c r="G142" s="50">
        <v>-2859.2</v>
      </c>
      <c r="H142" s="53">
        <f t="shared" si="6"/>
        <v>-10260.799999999999</v>
      </c>
      <c r="K142" s="57">
        <f>'Fælles adm.'!H143</f>
        <v>-4000</v>
      </c>
      <c r="L142" s="57">
        <f>Odense!H143</f>
        <v>-3000</v>
      </c>
      <c r="M142" s="57">
        <f>Laks!H143</f>
        <v>-1180.8</v>
      </c>
      <c r="N142" s="57">
        <f>Assens!H143</f>
        <v>0</v>
      </c>
      <c r="O142" s="57">
        <f>Nyborg!H143</f>
        <v>0</v>
      </c>
      <c r="P142" s="57">
        <f>Nordfyn!H143</f>
        <v>0</v>
      </c>
      <c r="Q142" s="57">
        <f>Kerteminde!H143</f>
        <v>-2080</v>
      </c>
      <c r="R142" s="57">
        <f>'Særlige tilskud'!H143</f>
        <v>0</v>
      </c>
    </row>
    <row r="143" spans="1:18" x14ac:dyDescent="0.25">
      <c r="A143" s="47" t="s">
        <v>232</v>
      </c>
      <c r="B143" s="47" t="s">
        <v>233</v>
      </c>
      <c r="C143" s="50">
        <v>-29987.16</v>
      </c>
      <c r="D143" s="50">
        <v>-274000</v>
      </c>
      <c r="E143" s="50">
        <v>89.06</v>
      </c>
      <c r="F143" s="50">
        <v>10.94</v>
      </c>
      <c r="G143" s="50">
        <v>-244012.84</v>
      </c>
      <c r="H143" s="53">
        <f t="shared" si="6"/>
        <v>-274000</v>
      </c>
      <c r="K143" s="57">
        <f>'Fælles adm.'!H144</f>
        <v>-70000</v>
      </c>
      <c r="L143" s="57">
        <f>Odense!H144</f>
        <v>-46000</v>
      </c>
      <c r="M143" s="57">
        <f>Laks!H144</f>
        <v>-10000</v>
      </c>
      <c r="N143" s="57">
        <f>Assens!H144</f>
        <v>-40000</v>
      </c>
      <c r="O143" s="57">
        <f>Nyborg!H144</f>
        <v>-24000</v>
      </c>
      <c r="P143" s="57">
        <f>Nordfyn!H144</f>
        <v>-42000</v>
      </c>
      <c r="Q143" s="57">
        <f>Kerteminde!H144</f>
        <v>-42000</v>
      </c>
      <c r="R143" s="57">
        <f>'Særlige tilskud'!H144</f>
        <v>0</v>
      </c>
    </row>
    <row r="144" spans="1:18" x14ac:dyDescent="0.25">
      <c r="A144" s="47" t="s">
        <v>234</v>
      </c>
      <c r="B144" s="47" t="s">
        <v>235</v>
      </c>
      <c r="D144" s="50">
        <v>-25000</v>
      </c>
      <c r="E144" s="50">
        <v>100</v>
      </c>
      <c r="G144" s="50">
        <v>-25000</v>
      </c>
      <c r="H144" s="53">
        <f t="shared" si="6"/>
        <v>-25000</v>
      </c>
      <c r="K144" s="57">
        <f>'Fælles adm.'!H145</f>
        <v>0</v>
      </c>
      <c r="L144" s="57">
        <f>Odense!H145</f>
        <v>-5000</v>
      </c>
      <c r="M144" s="57">
        <f>Laks!H145</f>
        <v>0</v>
      </c>
      <c r="N144" s="57">
        <f>Assens!H145</f>
        <v>-5000</v>
      </c>
      <c r="O144" s="57">
        <f>Nyborg!H145</f>
        <v>-5000</v>
      </c>
      <c r="P144" s="57">
        <f>Nordfyn!H145</f>
        <v>-5000</v>
      </c>
      <c r="Q144" s="57">
        <f>Kerteminde!H145</f>
        <v>-5000</v>
      </c>
      <c r="R144" s="57">
        <f>'Særlige tilskud'!H145</f>
        <v>0</v>
      </c>
    </row>
    <row r="145" spans="1:18" x14ac:dyDescent="0.25">
      <c r="A145" s="47" t="s">
        <v>236</v>
      </c>
      <c r="B145" s="47" t="s">
        <v>237</v>
      </c>
      <c r="C145" s="50">
        <v>-5782.94</v>
      </c>
      <c r="D145" s="50">
        <v>-35000</v>
      </c>
      <c r="E145" s="50">
        <v>83.48</v>
      </c>
      <c r="F145" s="50">
        <v>16.52</v>
      </c>
      <c r="G145" s="50">
        <v>-29217.06</v>
      </c>
      <c r="H145" s="53">
        <f t="shared" si="6"/>
        <v>-35299.199999999997</v>
      </c>
      <c r="K145" s="57">
        <f>'Fælles adm.'!H146</f>
        <v>-287.2</v>
      </c>
      <c r="L145" s="57">
        <f>Odense!H146</f>
        <v>-5000</v>
      </c>
      <c r="M145" s="57">
        <f>Laks!H146</f>
        <v>-5012</v>
      </c>
      <c r="N145" s="57">
        <f>Assens!H146</f>
        <v>-5000</v>
      </c>
      <c r="O145" s="57">
        <f>Nyborg!H146</f>
        <v>-5000</v>
      </c>
      <c r="P145" s="57">
        <f>Nordfyn!H146</f>
        <v>-10000</v>
      </c>
      <c r="Q145" s="57">
        <f>Kerteminde!H146</f>
        <v>-5000</v>
      </c>
      <c r="R145" s="57">
        <f>'Særlige tilskud'!H146</f>
        <v>0</v>
      </c>
    </row>
    <row r="146" spans="1:18" x14ac:dyDescent="0.25">
      <c r="A146" s="47" t="s">
        <v>238</v>
      </c>
      <c r="B146" s="47" t="s">
        <v>239</v>
      </c>
      <c r="C146" s="50">
        <v>-28318.55</v>
      </c>
      <c r="D146" s="50">
        <v>-63506.63</v>
      </c>
      <c r="E146" s="50">
        <v>55.41</v>
      </c>
      <c r="F146" s="50">
        <v>44.59</v>
      </c>
      <c r="G146" s="50">
        <v>-35188.080000000002</v>
      </c>
      <c r="H146" s="53">
        <f t="shared" si="6"/>
        <v>-71692.2</v>
      </c>
      <c r="K146" s="57">
        <f>'Fælles adm.'!H147</f>
        <v>-19923.72</v>
      </c>
      <c r="L146" s="57">
        <f>Odense!H147</f>
        <v>-16000</v>
      </c>
      <c r="M146" s="57">
        <f>Laks!H147</f>
        <v>-8000</v>
      </c>
      <c r="N146" s="57">
        <f>Assens!H147</f>
        <v>-8000</v>
      </c>
      <c r="O146" s="57">
        <f>Nyborg!H147</f>
        <v>-5768.48</v>
      </c>
      <c r="P146" s="57">
        <f>Nordfyn!H147</f>
        <v>-2000</v>
      </c>
      <c r="Q146" s="57">
        <f>Kerteminde!H147</f>
        <v>-12000</v>
      </c>
      <c r="R146" s="57">
        <f>'Særlige tilskud'!H147</f>
        <v>0</v>
      </c>
    </row>
    <row r="147" spans="1:18" x14ac:dyDescent="0.25">
      <c r="A147" s="47" t="s">
        <v>240</v>
      </c>
      <c r="B147" s="47" t="s">
        <v>241</v>
      </c>
      <c r="C147" s="50">
        <v>-236820.31</v>
      </c>
      <c r="G147" s="50">
        <v>236820.31</v>
      </c>
      <c r="H147" s="53">
        <f t="shared" si="6"/>
        <v>-236820.31</v>
      </c>
      <c r="K147" s="57">
        <f>'Fælles adm.'!H148</f>
        <v>0</v>
      </c>
      <c r="L147" s="57">
        <f>Odense!H148</f>
        <v>-114797.93</v>
      </c>
      <c r="M147" s="57">
        <f>Laks!H148</f>
        <v>0</v>
      </c>
      <c r="N147" s="57">
        <f>Assens!H148</f>
        <v>-15683.19</v>
      </c>
      <c r="O147" s="57">
        <f>Nyborg!H148</f>
        <v>-3477.4</v>
      </c>
      <c r="P147" s="57">
        <f>Nordfyn!H148</f>
        <v>-64361.79</v>
      </c>
      <c r="Q147" s="57">
        <f>Kerteminde!H148</f>
        <v>-38500</v>
      </c>
      <c r="R147" s="57">
        <f>'Særlige tilskud'!H148</f>
        <v>0</v>
      </c>
    </row>
    <row r="148" spans="1:18" x14ac:dyDescent="0.25">
      <c r="A148" s="47" t="s">
        <v>242</v>
      </c>
      <c r="B148" s="47" t="s">
        <v>243</v>
      </c>
      <c r="C148" s="50">
        <v>-45160.07</v>
      </c>
      <c r="D148" s="50">
        <v>-192660</v>
      </c>
      <c r="E148" s="50">
        <v>76.56</v>
      </c>
      <c r="F148" s="50">
        <v>23.44</v>
      </c>
      <c r="G148" s="50">
        <v>-147499.93</v>
      </c>
      <c r="H148" s="53">
        <f t="shared" si="6"/>
        <v>-192660</v>
      </c>
      <c r="K148" s="57">
        <f>'Fælles adm.'!H149</f>
        <v>0</v>
      </c>
      <c r="L148" s="57">
        <f>Odense!H149</f>
        <v>-50000</v>
      </c>
      <c r="M148" s="57">
        <f>Laks!H149</f>
        <v>-37660</v>
      </c>
      <c r="N148" s="57">
        <f>Assens!H149</f>
        <v>-10000</v>
      </c>
      <c r="O148" s="57">
        <f>Nyborg!H149</f>
        <v>-10000</v>
      </c>
      <c r="P148" s="57">
        <f>Nordfyn!H149</f>
        <v>-25000</v>
      </c>
      <c r="Q148" s="57">
        <f>Kerteminde!H149</f>
        <v>-60000</v>
      </c>
      <c r="R148" s="57">
        <f>'Særlige tilskud'!H149</f>
        <v>0</v>
      </c>
    </row>
    <row r="149" spans="1:18" x14ac:dyDescent="0.25">
      <c r="A149" s="47" t="s">
        <v>244</v>
      </c>
      <c r="B149" s="47" t="s">
        <v>245</v>
      </c>
      <c r="C149" s="50">
        <v>-69039.679999999993</v>
      </c>
      <c r="D149" s="50">
        <v>-156400</v>
      </c>
      <c r="E149" s="50">
        <v>55.86</v>
      </c>
      <c r="F149" s="50">
        <v>44.14</v>
      </c>
      <c r="G149" s="50">
        <v>-87360.320000000007</v>
      </c>
      <c r="H149" s="53">
        <f t="shared" si="6"/>
        <v>-156400</v>
      </c>
      <c r="K149" s="57">
        <f>'Fælles adm.'!H150</f>
        <v>0</v>
      </c>
      <c r="L149" s="57">
        <f>Odense!H150</f>
        <v>-60000</v>
      </c>
      <c r="M149" s="57">
        <f>Laks!H150</f>
        <v>0</v>
      </c>
      <c r="N149" s="57">
        <f>Assens!H150</f>
        <v>-10000</v>
      </c>
      <c r="O149" s="57">
        <f>Nyborg!H150</f>
        <v>-10000</v>
      </c>
      <c r="P149" s="57">
        <f>Nordfyn!H150</f>
        <v>-70000</v>
      </c>
      <c r="Q149" s="57">
        <f>Kerteminde!H150</f>
        <v>-6400</v>
      </c>
      <c r="R149" s="57">
        <f>'Særlige tilskud'!H150</f>
        <v>0</v>
      </c>
    </row>
    <row r="150" spans="1:18" x14ac:dyDescent="0.25">
      <c r="A150" s="47" t="s">
        <v>246</v>
      </c>
      <c r="B150" s="47" t="s">
        <v>247</v>
      </c>
      <c r="C150" s="50">
        <v>-449754.97</v>
      </c>
      <c r="D150" s="50">
        <v>-4814375</v>
      </c>
      <c r="E150" s="50">
        <v>90.66</v>
      </c>
      <c r="F150" s="50">
        <v>9.34</v>
      </c>
      <c r="G150" s="50">
        <v>-4364620.03</v>
      </c>
      <c r="H150" s="53">
        <f t="shared" si="6"/>
        <v>-4583588.24</v>
      </c>
      <c r="K150" s="57">
        <f>'Fælles adm.'!H151</f>
        <v>-7315</v>
      </c>
      <c r="L150" s="57">
        <f>Odense!H151</f>
        <v>-920000</v>
      </c>
      <c r="M150" s="57">
        <f>Laks!H151</f>
        <v>-3398.24</v>
      </c>
      <c r="N150" s="57">
        <f>Assens!H151</f>
        <v>12500</v>
      </c>
      <c r="O150" s="57">
        <f>Nyborg!H151</f>
        <v>-20000</v>
      </c>
      <c r="P150" s="57">
        <f>Nordfyn!H151</f>
        <v>0</v>
      </c>
      <c r="Q150" s="57">
        <f>Kerteminde!H151</f>
        <v>-275375</v>
      </c>
      <c r="R150" s="57">
        <f>'Særlige tilskud'!H151</f>
        <v>-3370000</v>
      </c>
    </row>
    <row r="151" spans="1:18" x14ac:dyDescent="0.25">
      <c r="A151" s="47" t="s">
        <v>248</v>
      </c>
      <c r="B151" s="47" t="s">
        <v>249</v>
      </c>
      <c r="C151" s="50">
        <v>-109287.71</v>
      </c>
      <c r="D151" s="50">
        <v>-390000</v>
      </c>
      <c r="E151" s="50">
        <v>71.98</v>
      </c>
      <c r="F151" s="50">
        <v>28.02</v>
      </c>
      <c r="G151" s="50">
        <v>-280712.28999999998</v>
      </c>
      <c r="H151" s="53">
        <f t="shared" ref="H151:H197" si="7">SUM(K151:R151)</f>
        <v>-390000</v>
      </c>
      <c r="K151" s="57">
        <f>'Fælles adm.'!H152</f>
        <v>-50000</v>
      </c>
      <c r="L151" s="57">
        <f>Odense!H152</f>
        <v>-120000</v>
      </c>
      <c r="M151" s="57">
        <f>Laks!H152</f>
        <v>-20000</v>
      </c>
      <c r="N151" s="57">
        <f>Assens!H152</f>
        <v>-50000</v>
      </c>
      <c r="O151" s="57">
        <f>Nyborg!H152</f>
        <v>-50000</v>
      </c>
      <c r="P151" s="57">
        <f>Nordfyn!H152</f>
        <v>-50000</v>
      </c>
      <c r="Q151" s="57">
        <f>Kerteminde!H152</f>
        <v>-50000</v>
      </c>
      <c r="R151" s="57">
        <f>'Særlige tilskud'!H152</f>
        <v>0</v>
      </c>
    </row>
    <row r="152" spans="1:18" x14ac:dyDescent="0.25">
      <c r="A152" s="47" t="s">
        <v>250</v>
      </c>
      <c r="B152" s="47" t="s">
        <v>251</v>
      </c>
      <c r="H152" s="53">
        <f t="shared" si="7"/>
        <v>0</v>
      </c>
      <c r="K152" s="57">
        <f>'Fælles adm.'!H153</f>
        <v>0</v>
      </c>
      <c r="L152" s="57">
        <f>Odense!H153</f>
        <v>0</v>
      </c>
      <c r="M152" s="57">
        <f>Laks!H153</f>
        <v>0</v>
      </c>
      <c r="N152" s="57">
        <f>Assens!H153</f>
        <v>0</v>
      </c>
      <c r="O152" s="57">
        <f>Nyborg!H153</f>
        <v>0</v>
      </c>
      <c r="P152" s="57">
        <f>Nordfyn!H153</f>
        <v>0</v>
      </c>
      <c r="Q152" s="57">
        <f>Kerteminde!H153</f>
        <v>0</v>
      </c>
      <c r="R152" s="57">
        <f>'Særlige tilskud'!H153</f>
        <v>0</v>
      </c>
    </row>
    <row r="153" spans="1:18" x14ac:dyDescent="0.25">
      <c r="A153" s="47" t="s">
        <v>252</v>
      </c>
      <c r="B153" s="47" t="s">
        <v>253</v>
      </c>
      <c r="C153" s="50">
        <v>-100431.72</v>
      </c>
      <c r="D153" s="50">
        <v>-70000</v>
      </c>
      <c r="E153" s="50">
        <v>-43.47</v>
      </c>
      <c r="F153" s="50">
        <v>143.47</v>
      </c>
      <c r="G153" s="50">
        <v>30431.72</v>
      </c>
      <c r="H153" s="53">
        <f t="shared" si="7"/>
        <v>-100431.72</v>
      </c>
      <c r="K153" s="57">
        <f>'Fælles adm.'!H154</f>
        <v>0</v>
      </c>
      <c r="L153" s="57">
        <f>Odense!H154</f>
        <v>-10488.3</v>
      </c>
      <c r="M153" s="57">
        <f>Laks!H154</f>
        <v>0</v>
      </c>
      <c r="N153" s="57">
        <f>Assens!H154</f>
        <v>-17374.5</v>
      </c>
      <c r="O153" s="57">
        <f>Nyborg!H154</f>
        <v>-267.3</v>
      </c>
      <c r="P153" s="57">
        <f>Nordfyn!H154</f>
        <v>-410.4</v>
      </c>
      <c r="Q153" s="57">
        <f>Kerteminde!H154</f>
        <v>-71891.22</v>
      </c>
      <c r="R153" s="57">
        <f>'Særlige tilskud'!H154</f>
        <v>0</v>
      </c>
    </row>
    <row r="154" spans="1:18" x14ac:dyDescent="0.25">
      <c r="A154" s="47" t="s">
        <v>254</v>
      </c>
      <c r="B154" s="47" t="s">
        <v>255</v>
      </c>
      <c r="C154" s="50">
        <v>-111985.19</v>
      </c>
      <c r="D154" s="50">
        <v>-213155.18</v>
      </c>
      <c r="E154" s="50">
        <v>47.46</v>
      </c>
      <c r="F154" s="50">
        <v>52.54</v>
      </c>
      <c r="G154" s="50">
        <v>-101169.99</v>
      </c>
      <c r="H154" s="53">
        <f t="shared" si="7"/>
        <v>-213155.18</v>
      </c>
      <c r="K154" s="57">
        <f>'Fælles adm.'!H155</f>
        <v>-10155.18</v>
      </c>
      <c r="L154" s="57">
        <f>Odense!H155</f>
        <v>-50000</v>
      </c>
      <c r="M154" s="57">
        <f>Laks!H155</f>
        <v>0</v>
      </c>
      <c r="N154" s="57">
        <f>Assens!H155</f>
        <v>-20000</v>
      </c>
      <c r="O154" s="57">
        <f>Nyborg!H155</f>
        <v>-25000</v>
      </c>
      <c r="P154" s="57">
        <f>Nordfyn!H155</f>
        <v>-50000</v>
      </c>
      <c r="Q154" s="57">
        <f>Kerteminde!H155</f>
        <v>-58000</v>
      </c>
      <c r="R154" s="57">
        <f>'Særlige tilskud'!H155</f>
        <v>0</v>
      </c>
    </row>
    <row r="155" spans="1:18" x14ac:dyDescent="0.25">
      <c r="A155" s="47" t="s">
        <v>256</v>
      </c>
      <c r="B155" s="47" t="s">
        <v>257</v>
      </c>
      <c r="D155" s="50">
        <v>-72666.66</v>
      </c>
      <c r="E155" s="50">
        <v>100</v>
      </c>
      <c r="G155" s="50">
        <v>-72666.66</v>
      </c>
      <c r="H155" s="53">
        <f t="shared" si="7"/>
        <v>-72666.66</v>
      </c>
      <c r="K155" s="57">
        <f>'Fælles adm.'!H156</f>
        <v>0</v>
      </c>
      <c r="L155" s="57">
        <f>Odense!H156</f>
        <v>-33700</v>
      </c>
      <c r="M155" s="57">
        <f>Laks!H156</f>
        <v>0</v>
      </c>
      <c r="N155" s="57">
        <f>Assens!H156</f>
        <v>-9533.33</v>
      </c>
      <c r="O155" s="57">
        <f>Nyborg!H156</f>
        <v>-8733.33</v>
      </c>
      <c r="P155" s="57">
        <f>Nordfyn!H156</f>
        <v>-10266.67</v>
      </c>
      <c r="Q155" s="57">
        <f>Kerteminde!H156</f>
        <v>-10433.33</v>
      </c>
      <c r="R155" s="57">
        <f>'Særlige tilskud'!H156</f>
        <v>0</v>
      </c>
    </row>
    <row r="156" spans="1:18" x14ac:dyDescent="0.25">
      <c r="A156" s="47" t="s">
        <v>258</v>
      </c>
      <c r="B156" s="47" t="s">
        <v>259</v>
      </c>
      <c r="C156" s="50">
        <v>-193393.85</v>
      </c>
      <c r="D156" s="50">
        <v>-49323.4</v>
      </c>
      <c r="E156" s="50">
        <v>-292.08999999999997</v>
      </c>
      <c r="F156" s="50">
        <v>392.09</v>
      </c>
      <c r="G156" s="50">
        <v>144070.45000000001</v>
      </c>
      <c r="H156" s="53">
        <f t="shared" si="7"/>
        <v>-193393.85</v>
      </c>
      <c r="K156" s="57">
        <f>'Fælles adm.'!H157</f>
        <v>-193393.85</v>
      </c>
      <c r="L156" s="57">
        <f>Odense!H157</f>
        <v>0</v>
      </c>
      <c r="M156" s="57">
        <f>Laks!H157</f>
        <v>0</v>
      </c>
      <c r="N156" s="57">
        <f>Assens!H157</f>
        <v>0</v>
      </c>
      <c r="O156" s="57">
        <f>Nyborg!H157</f>
        <v>0</v>
      </c>
      <c r="P156" s="57">
        <f>Nordfyn!H157</f>
        <v>0</v>
      </c>
      <c r="Q156" s="57">
        <f>Kerteminde!H157</f>
        <v>0</v>
      </c>
      <c r="R156" s="57">
        <f>'Særlige tilskud'!H157</f>
        <v>0</v>
      </c>
    </row>
    <row r="157" spans="1:18" x14ac:dyDescent="0.25">
      <c r="A157" s="47" t="s">
        <v>260</v>
      </c>
      <c r="B157" s="47" t="s">
        <v>261</v>
      </c>
      <c r="D157" s="50">
        <v>-866371</v>
      </c>
      <c r="E157" s="50">
        <v>100</v>
      </c>
      <c r="G157" s="50">
        <v>-866371</v>
      </c>
      <c r="H157" s="53">
        <f t="shared" si="7"/>
        <v>0</v>
      </c>
      <c r="K157" s="57">
        <f>'Fælles adm.'!H158</f>
        <v>0</v>
      </c>
      <c r="L157" s="57">
        <f>Odense!H158</f>
        <v>0</v>
      </c>
      <c r="M157" s="57">
        <f>Laks!H158</f>
        <v>0</v>
      </c>
      <c r="N157" s="57">
        <f>Assens!H158</f>
        <v>0</v>
      </c>
      <c r="O157" s="57">
        <f>Nyborg!H158</f>
        <v>0</v>
      </c>
      <c r="P157" s="57">
        <f>Nordfyn!H158</f>
        <v>0</v>
      </c>
      <c r="Q157" s="57">
        <f>Kerteminde!H158</f>
        <v>0</v>
      </c>
      <c r="R157" s="57">
        <f>'Særlige tilskud'!H158</f>
        <v>0</v>
      </c>
    </row>
    <row r="158" spans="1:18" x14ac:dyDescent="0.25">
      <c r="A158" s="47" t="s">
        <v>262</v>
      </c>
      <c r="B158" s="47" t="s">
        <v>263</v>
      </c>
      <c r="C158" s="50">
        <v>-48932.63</v>
      </c>
      <c r="D158" s="50">
        <v>-1280000</v>
      </c>
      <c r="E158" s="50">
        <v>96.18</v>
      </c>
      <c r="F158" s="50">
        <v>3.82</v>
      </c>
      <c r="G158" s="50">
        <v>-1231067.3700000001</v>
      </c>
      <c r="H158" s="53">
        <f t="shared" si="7"/>
        <v>-784743.46</v>
      </c>
      <c r="K158" s="57">
        <f>'Fælles adm.'!H159</f>
        <v>-500000</v>
      </c>
      <c r="L158" s="57">
        <f>Odense!H159</f>
        <v>-80000</v>
      </c>
      <c r="M158" s="57">
        <f>Laks!H159</f>
        <v>-358.7</v>
      </c>
      <c r="N158" s="57">
        <f>Assens!H159</f>
        <v>0</v>
      </c>
      <c r="O158" s="57">
        <f>Nyborg!H159</f>
        <v>-2592</v>
      </c>
      <c r="P158" s="57">
        <f>Nordfyn!H159</f>
        <v>-200000</v>
      </c>
      <c r="Q158" s="57">
        <f>Kerteminde!H159</f>
        <v>-1792.76</v>
      </c>
      <c r="R158" s="57">
        <f>'Særlige tilskud'!H159</f>
        <v>0</v>
      </c>
    </row>
    <row r="159" spans="1:18" x14ac:dyDescent="0.25">
      <c r="A159" s="47" t="s">
        <v>264</v>
      </c>
      <c r="B159" s="47" t="s">
        <v>265</v>
      </c>
      <c r="H159" s="53">
        <f t="shared" si="7"/>
        <v>0</v>
      </c>
      <c r="K159" s="57">
        <f>'Fælles adm.'!H160</f>
        <v>0</v>
      </c>
      <c r="L159" s="57">
        <f>Odense!H160</f>
        <v>0</v>
      </c>
      <c r="M159" s="57">
        <f>Laks!H160</f>
        <v>0</v>
      </c>
      <c r="N159" s="57">
        <f>Assens!H160</f>
        <v>0</v>
      </c>
      <c r="O159" s="57">
        <f>Nyborg!H160</f>
        <v>0</v>
      </c>
      <c r="P159" s="57">
        <f>Nordfyn!H160</f>
        <v>0</v>
      </c>
      <c r="Q159" s="57">
        <f>Kerteminde!H160</f>
        <v>0</v>
      </c>
      <c r="R159" s="57">
        <f>'Særlige tilskud'!H160</f>
        <v>0</v>
      </c>
    </row>
    <row r="160" spans="1:18" x14ac:dyDescent="0.25">
      <c r="A160" s="47" t="s">
        <v>266</v>
      </c>
      <c r="B160" s="47" t="s">
        <v>267</v>
      </c>
      <c r="H160" s="53">
        <f t="shared" si="7"/>
        <v>0</v>
      </c>
      <c r="K160" s="57">
        <f>'Fælles adm.'!H161</f>
        <v>0</v>
      </c>
      <c r="L160" s="57">
        <f>Odense!H161</f>
        <v>0</v>
      </c>
      <c r="M160" s="57">
        <f>Laks!H161</f>
        <v>0</v>
      </c>
      <c r="N160" s="57">
        <f>Assens!H161</f>
        <v>0</v>
      </c>
      <c r="O160" s="57">
        <f>Nyborg!H161</f>
        <v>0</v>
      </c>
      <c r="P160" s="57">
        <f>Nordfyn!H161</f>
        <v>0</v>
      </c>
      <c r="Q160" s="57">
        <f>Kerteminde!H161</f>
        <v>0</v>
      </c>
      <c r="R160" s="57">
        <f>'Særlige tilskud'!H161</f>
        <v>0</v>
      </c>
    </row>
    <row r="161" spans="1:18" x14ac:dyDescent="0.25">
      <c r="A161" s="47" t="s">
        <v>268</v>
      </c>
      <c r="B161" s="47" t="s">
        <v>269</v>
      </c>
      <c r="C161" s="50">
        <v>-702399.28</v>
      </c>
      <c r="D161" s="50">
        <v>-1508000</v>
      </c>
      <c r="E161" s="50">
        <v>53.42</v>
      </c>
      <c r="F161" s="50">
        <v>46.58</v>
      </c>
      <c r="G161" s="50">
        <v>-805600.72</v>
      </c>
      <c r="H161" s="53">
        <f t="shared" si="7"/>
        <v>-1512771.94</v>
      </c>
      <c r="K161" s="57">
        <f>'Fælles adm.'!H162</f>
        <v>0</v>
      </c>
      <c r="L161" s="57">
        <f>Odense!H162</f>
        <v>-300000</v>
      </c>
      <c r="M161" s="57">
        <f>Laks!H162</f>
        <v>-639671.43999999994</v>
      </c>
      <c r="N161" s="57">
        <f>Assens!H162</f>
        <v>-117907.58</v>
      </c>
      <c r="O161" s="57">
        <f>Nyborg!H162</f>
        <v>-110000</v>
      </c>
      <c r="P161" s="57">
        <f>Nordfyn!H162</f>
        <v>-55192.92</v>
      </c>
      <c r="Q161" s="57">
        <f>Kerteminde!H162</f>
        <v>-290000</v>
      </c>
      <c r="R161" s="57">
        <f>'Særlige tilskud'!H162</f>
        <v>0</v>
      </c>
    </row>
    <row r="162" spans="1:18" x14ac:dyDescent="0.25">
      <c r="A162" s="47" t="s">
        <v>270</v>
      </c>
      <c r="B162" s="47" t="s">
        <v>271</v>
      </c>
      <c r="C162" s="50">
        <v>-354702.35</v>
      </c>
      <c r="D162" s="50">
        <v>-793000</v>
      </c>
      <c r="E162" s="50">
        <v>55.27</v>
      </c>
      <c r="F162" s="50">
        <v>44.73</v>
      </c>
      <c r="G162" s="50">
        <v>-438297.65</v>
      </c>
      <c r="H162" s="53">
        <f t="shared" si="7"/>
        <v>-695046.39999999991</v>
      </c>
      <c r="K162" s="57">
        <f>'Fælles adm.'!H163</f>
        <v>0</v>
      </c>
      <c r="L162" s="57">
        <f>Odense!H163</f>
        <v>-300000</v>
      </c>
      <c r="M162" s="57">
        <f>Laks!H163</f>
        <v>-15000</v>
      </c>
      <c r="N162" s="57">
        <f>Assens!H163</f>
        <v>-88000</v>
      </c>
      <c r="O162" s="57">
        <f>Nyborg!H163</f>
        <v>-90000</v>
      </c>
      <c r="P162" s="57">
        <f>Nordfyn!H163</f>
        <v>-85475.839999999997</v>
      </c>
      <c r="Q162" s="57">
        <f>Kerteminde!H163</f>
        <v>-116570.56</v>
      </c>
      <c r="R162" s="57">
        <f>'Særlige tilskud'!H163</f>
        <v>0</v>
      </c>
    </row>
    <row r="163" spans="1:18" x14ac:dyDescent="0.25">
      <c r="A163" s="47" t="s">
        <v>272</v>
      </c>
      <c r="B163" s="47" t="s">
        <v>273</v>
      </c>
      <c r="C163" s="50">
        <v>-237134.32</v>
      </c>
      <c r="D163" s="50">
        <v>-324642</v>
      </c>
      <c r="E163" s="50">
        <v>26.96</v>
      </c>
      <c r="F163" s="50">
        <v>73.040000000000006</v>
      </c>
      <c r="G163" s="50">
        <v>-87507.68</v>
      </c>
      <c r="H163" s="53">
        <f t="shared" si="7"/>
        <v>-511585.14</v>
      </c>
      <c r="K163" s="57">
        <f>'Fælles adm.'!H164</f>
        <v>0</v>
      </c>
      <c r="L163" s="57">
        <f>Odense!H164</f>
        <v>-108597.36</v>
      </c>
      <c r="M163" s="57">
        <f>Laks!H164</f>
        <v>-282652.02</v>
      </c>
      <c r="N163" s="57">
        <f>Assens!H164</f>
        <v>-41791.9</v>
      </c>
      <c r="O163" s="57">
        <f>Nyborg!H164</f>
        <v>-16000</v>
      </c>
      <c r="P163" s="57">
        <f>Nordfyn!H164</f>
        <v>-34543.86</v>
      </c>
      <c r="Q163" s="57">
        <f>Kerteminde!H164</f>
        <v>-28000</v>
      </c>
      <c r="R163" s="57">
        <f>'Særlige tilskud'!H164</f>
        <v>0</v>
      </c>
    </row>
    <row r="164" spans="1:18" x14ac:dyDescent="0.25">
      <c r="A164" s="47" t="s">
        <v>274</v>
      </c>
      <c r="B164" s="47" t="s">
        <v>275</v>
      </c>
      <c r="C164" s="50">
        <v>-22626.59</v>
      </c>
      <c r="D164" s="50">
        <v>-78500</v>
      </c>
      <c r="E164" s="50">
        <v>71.180000000000007</v>
      </c>
      <c r="F164" s="50">
        <v>28.82</v>
      </c>
      <c r="G164" s="50">
        <v>-55873.41</v>
      </c>
      <c r="H164" s="53">
        <f t="shared" si="7"/>
        <v>-78500</v>
      </c>
      <c r="K164" s="57">
        <f>'Fælles adm.'!H165</f>
        <v>0</v>
      </c>
      <c r="L164" s="57">
        <f>Odense!H165</f>
        <v>-20000</v>
      </c>
      <c r="M164" s="57">
        <f>Laks!H165</f>
        <v>0</v>
      </c>
      <c r="N164" s="57">
        <f>Assens!H165</f>
        <v>-10000</v>
      </c>
      <c r="O164" s="57">
        <f>Nyborg!H165</f>
        <v>-15000</v>
      </c>
      <c r="P164" s="57">
        <f>Nordfyn!H165</f>
        <v>-18500</v>
      </c>
      <c r="Q164" s="57">
        <f>Kerteminde!H165</f>
        <v>-15000</v>
      </c>
      <c r="R164" s="57">
        <f>'Særlige tilskud'!H165</f>
        <v>0</v>
      </c>
    </row>
    <row r="165" spans="1:18" x14ac:dyDescent="0.25">
      <c r="A165" s="47" t="s">
        <v>276</v>
      </c>
      <c r="B165" s="47" t="s">
        <v>277</v>
      </c>
      <c r="C165" s="50">
        <v>-12992.86</v>
      </c>
      <c r="D165" s="50">
        <v>-84000</v>
      </c>
      <c r="E165" s="50">
        <v>84.53</v>
      </c>
      <c r="F165" s="50">
        <v>15.47</v>
      </c>
      <c r="G165" s="50">
        <v>-71007.14</v>
      </c>
      <c r="H165" s="53">
        <f t="shared" si="7"/>
        <v>-84407.85</v>
      </c>
      <c r="K165" s="57">
        <f>'Fælles adm.'!H166</f>
        <v>0</v>
      </c>
      <c r="L165" s="57">
        <f>Odense!H166</f>
        <v>-35000</v>
      </c>
      <c r="M165" s="57">
        <f>Laks!H166</f>
        <v>-407.85</v>
      </c>
      <c r="N165" s="57">
        <f>Assens!H166</f>
        <v>-10000</v>
      </c>
      <c r="O165" s="57">
        <f>Nyborg!H166</f>
        <v>0</v>
      </c>
      <c r="P165" s="57">
        <f>Nordfyn!H166</f>
        <v>-4000</v>
      </c>
      <c r="Q165" s="57">
        <f>Kerteminde!H166</f>
        <v>-35000</v>
      </c>
      <c r="R165" s="57">
        <f>'Særlige tilskud'!H166</f>
        <v>0</v>
      </c>
    </row>
    <row r="166" spans="1:18" x14ac:dyDescent="0.25">
      <c r="A166" s="47" t="s">
        <v>278</v>
      </c>
      <c r="B166" s="47" t="s">
        <v>279</v>
      </c>
      <c r="C166" s="50">
        <v>229516.88</v>
      </c>
      <c r="G166" s="50">
        <v>-229516.88</v>
      </c>
      <c r="H166" s="53">
        <f t="shared" si="7"/>
        <v>459033.76</v>
      </c>
      <c r="K166" s="57">
        <f>'Fælles adm.'!H167</f>
        <v>0</v>
      </c>
      <c r="L166" s="57">
        <f>Odense!H167</f>
        <v>0</v>
      </c>
      <c r="M166" s="57">
        <f>Laks!H167</f>
        <v>459033.76</v>
      </c>
      <c r="N166" s="57">
        <f>Assens!H167</f>
        <v>0</v>
      </c>
      <c r="O166" s="57">
        <f>Nyborg!H167</f>
        <v>0</v>
      </c>
      <c r="P166" s="57">
        <f>Nordfyn!H167</f>
        <v>0</v>
      </c>
      <c r="Q166" s="57">
        <f>Kerteminde!H167</f>
        <v>0</v>
      </c>
      <c r="R166" s="57">
        <f>'Særlige tilskud'!H167</f>
        <v>0</v>
      </c>
    </row>
    <row r="167" spans="1:18" x14ac:dyDescent="0.25">
      <c r="A167" s="47" t="s">
        <v>280</v>
      </c>
      <c r="B167" s="47" t="s">
        <v>281</v>
      </c>
      <c r="C167" s="50">
        <v>-275829.33</v>
      </c>
      <c r="D167" s="50">
        <v>-580000</v>
      </c>
      <c r="E167" s="50">
        <v>52.44</v>
      </c>
      <c r="F167" s="50">
        <v>47.56</v>
      </c>
      <c r="G167" s="50">
        <v>-304170.67</v>
      </c>
      <c r="H167" s="53">
        <f t="shared" si="7"/>
        <v>-604459.51</v>
      </c>
      <c r="K167" s="57">
        <f>'Fælles adm.'!H168</f>
        <v>-400000</v>
      </c>
      <c r="L167" s="57">
        <f>Odense!H168</f>
        <v>-70000</v>
      </c>
      <c r="M167" s="57">
        <f>Laks!H168</f>
        <v>0</v>
      </c>
      <c r="N167" s="57">
        <f>Assens!H168</f>
        <v>-20000</v>
      </c>
      <c r="O167" s="57">
        <f>Nyborg!H168</f>
        <v>-10000</v>
      </c>
      <c r="P167" s="57">
        <f>Nordfyn!H168</f>
        <v>-74459.509999999995</v>
      </c>
      <c r="Q167" s="57">
        <f>Kerteminde!H168</f>
        <v>-30000</v>
      </c>
      <c r="R167" s="57">
        <f>'Særlige tilskud'!H168</f>
        <v>0</v>
      </c>
    </row>
    <row r="168" spans="1:18" x14ac:dyDescent="0.25">
      <c r="A168" s="47" t="s">
        <v>282</v>
      </c>
      <c r="B168" s="47" t="s">
        <v>283</v>
      </c>
      <c r="C168" s="50">
        <v>-944196.49</v>
      </c>
      <c r="D168" s="50">
        <v>-2200000</v>
      </c>
      <c r="E168" s="50">
        <v>57.08</v>
      </c>
      <c r="F168" s="50">
        <v>42.92</v>
      </c>
      <c r="G168" s="50">
        <v>-1255803.51</v>
      </c>
      <c r="H168" s="53">
        <f t="shared" si="7"/>
        <v>-2600000</v>
      </c>
      <c r="K168" s="57">
        <f>'Fælles adm.'!H169</f>
        <v>-2400000</v>
      </c>
      <c r="L168" s="57">
        <f>Odense!H169</f>
        <v>-40000</v>
      </c>
      <c r="M168" s="57">
        <f>Laks!H169</f>
        <v>0</v>
      </c>
      <c r="N168" s="57">
        <f>Assens!H169</f>
        <v>-25000</v>
      </c>
      <c r="O168" s="57">
        <f>Nyborg!H169</f>
        <v>-50000</v>
      </c>
      <c r="P168" s="57">
        <f>Nordfyn!H169</f>
        <v>-60000</v>
      </c>
      <c r="Q168" s="57">
        <f>Kerteminde!H169</f>
        <v>-25000</v>
      </c>
      <c r="R168" s="57">
        <f>'Særlige tilskud'!H169</f>
        <v>0</v>
      </c>
    </row>
    <row r="169" spans="1:18" x14ac:dyDescent="0.25">
      <c r="A169" s="47" t="s">
        <v>284</v>
      </c>
      <c r="B169" s="47" t="s">
        <v>285</v>
      </c>
      <c r="C169" s="50">
        <v>-109624.75</v>
      </c>
      <c r="D169" s="50">
        <v>-350000</v>
      </c>
      <c r="E169" s="50">
        <v>68.680000000000007</v>
      </c>
      <c r="F169" s="50">
        <v>31.32</v>
      </c>
      <c r="G169" s="50">
        <v>-240375.25</v>
      </c>
      <c r="H169" s="53">
        <f t="shared" si="7"/>
        <v>-350000</v>
      </c>
      <c r="K169" s="57">
        <f>'Fælles adm.'!H170</f>
        <v>-350000</v>
      </c>
      <c r="L169" s="57">
        <f>Odense!H170</f>
        <v>0</v>
      </c>
      <c r="M169" s="57">
        <f>Laks!H170</f>
        <v>0</v>
      </c>
      <c r="N169" s="57">
        <f>Assens!H170</f>
        <v>0</v>
      </c>
      <c r="O169" s="57">
        <f>Nyborg!H170</f>
        <v>0</v>
      </c>
      <c r="P169" s="57">
        <f>Nordfyn!H170</f>
        <v>0</v>
      </c>
      <c r="Q169" s="57">
        <f>Kerteminde!H170</f>
        <v>0</v>
      </c>
      <c r="R169" s="57">
        <f>'Særlige tilskud'!H170</f>
        <v>0</v>
      </c>
    </row>
    <row r="170" spans="1:18" x14ac:dyDescent="0.25">
      <c r="A170" s="47" t="s">
        <v>286</v>
      </c>
      <c r="B170" s="47" t="s">
        <v>287</v>
      </c>
      <c r="C170" s="50">
        <v>-38500</v>
      </c>
      <c r="D170" s="50">
        <v>-50000</v>
      </c>
      <c r="E170" s="50">
        <v>23</v>
      </c>
      <c r="F170" s="50">
        <v>77</v>
      </c>
      <c r="G170" s="50">
        <v>-11500</v>
      </c>
      <c r="H170" s="53">
        <f t="shared" si="7"/>
        <v>-100000</v>
      </c>
      <c r="K170" s="57">
        <f>'Fælles adm.'!H171</f>
        <v>-100000</v>
      </c>
      <c r="L170" s="57">
        <f>Odense!H171</f>
        <v>0</v>
      </c>
      <c r="M170" s="57">
        <f>Laks!H171</f>
        <v>0</v>
      </c>
      <c r="N170" s="57">
        <f>Assens!H171</f>
        <v>0</v>
      </c>
      <c r="O170" s="57">
        <f>Nyborg!H171</f>
        <v>0</v>
      </c>
      <c r="P170" s="57">
        <f>Nordfyn!H171</f>
        <v>0</v>
      </c>
      <c r="Q170" s="57">
        <f>Kerteminde!H171</f>
        <v>0</v>
      </c>
      <c r="R170" s="57">
        <f>'Særlige tilskud'!H171</f>
        <v>0</v>
      </c>
    </row>
    <row r="171" spans="1:18" x14ac:dyDescent="0.25">
      <c r="A171" s="47" t="s">
        <v>288</v>
      </c>
      <c r="B171" s="47" t="s">
        <v>289</v>
      </c>
      <c r="C171" s="50">
        <v>-231872.5</v>
      </c>
      <c r="D171" s="50">
        <v>-296956.57</v>
      </c>
      <c r="E171" s="50">
        <v>21.92</v>
      </c>
      <c r="F171" s="50">
        <v>78.08</v>
      </c>
      <c r="G171" s="50">
        <v>-65084.07</v>
      </c>
      <c r="H171" s="53">
        <f t="shared" si="7"/>
        <v>-800412.07000000007</v>
      </c>
      <c r="K171" s="57">
        <f>'Fælles adm.'!H172</f>
        <v>-756956.57000000007</v>
      </c>
      <c r="L171" s="57">
        <f>Odense!H172</f>
        <v>-23160</v>
      </c>
      <c r="M171" s="57">
        <f>Laks!H172</f>
        <v>-15900</v>
      </c>
      <c r="N171" s="57">
        <f>Assens!H172</f>
        <v>0</v>
      </c>
      <c r="O171" s="57">
        <f>Nyborg!H172</f>
        <v>0</v>
      </c>
      <c r="P171" s="57">
        <f>Nordfyn!H172</f>
        <v>0</v>
      </c>
      <c r="Q171" s="57">
        <f>Kerteminde!H172</f>
        <v>-4395.5</v>
      </c>
      <c r="R171" s="57">
        <f>'Særlige tilskud'!H172</f>
        <v>0</v>
      </c>
    </row>
    <row r="172" spans="1:18" x14ac:dyDescent="0.25">
      <c r="A172" s="47" t="s">
        <v>290</v>
      </c>
      <c r="B172" s="47" t="s">
        <v>291</v>
      </c>
      <c r="C172" s="50">
        <v>-6644.8</v>
      </c>
      <c r="D172" s="50">
        <v>-72000</v>
      </c>
      <c r="E172" s="50">
        <v>90.77</v>
      </c>
      <c r="F172" s="50">
        <v>9.23</v>
      </c>
      <c r="G172" s="50">
        <v>-65355.199999999997</v>
      </c>
      <c r="H172" s="53">
        <f t="shared" si="7"/>
        <v>-72000</v>
      </c>
      <c r="K172" s="57">
        <f>'Fælles adm.'!H173</f>
        <v>0</v>
      </c>
      <c r="L172" s="57">
        <f>Odense!H173</f>
        <v>-11000</v>
      </c>
      <c r="M172" s="57">
        <f>Laks!H173</f>
        <v>0</v>
      </c>
      <c r="N172" s="57">
        <f>Assens!H173</f>
        <v>-15000</v>
      </c>
      <c r="O172" s="57">
        <f>Nyborg!H173</f>
        <v>-10000</v>
      </c>
      <c r="P172" s="57">
        <f>Nordfyn!H173</f>
        <v>-20000</v>
      </c>
      <c r="Q172" s="57">
        <f>Kerteminde!H173</f>
        <v>-16000</v>
      </c>
      <c r="R172" s="57">
        <f>'Særlige tilskud'!H173</f>
        <v>0</v>
      </c>
    </row>
    <row r="173" spans="1:18" x14ac:dyDescent="0.25">
      <c r="A173" s="47" t="s">
        <v>292</v>
      </c>
      <c r="B173" s="47" t="s">
        <v>293</v>
      </c>
      <c r="C173" s="50">
        <v>-101017.71</v>
      </c>
      <c r="D173" s="50">
        <v>-270787.61</v>
      </c>
      <c r="E173" s="50">
        <v>62.69</v>
      </c>
      <c r="F173" s="50">
        <v>37.31</v>
      </c>
      <c r="G173" s="50">
        <v>-169769.9</v>
      </c>
      <c r="H173" s="53">
        <f t="shared" si="7"/>
        <v>-282723.86</v>
      </c>
      <c r="K173" s="57">
        <f>'Fælles adm.'!H174</f>
        <v>-20923.86</v>
      </c>
      <c r="L173" s="57">
        <f>Odense!H174</f>
        <v>-80000</v>
      </c>
      <c r="M173" s="57">
        <f>Laks!H174</f>
        <v>-15000</v>
      </c>
      <c r="N173" s="57">
        <f>Assens!H174</f>
        <v>-52000</v>
      </c>
      <c r="O173" s="57">
        <f>Nyborg!H174</f>
        <v>-20000</v>
      </c>
      <c r="P173" s="57">
        <f>Nordfyn!H174</f>
        <v>-52800</v>
      </c>
      <c r="Q173" s="57">
        <f>Kerteminde!H174</f>
        <v>-42000</v>
      </c>
      <c r="R173" s="57">
        <f>'Særlige tilskud'!H174</f>
        <v>0</v>
      </c>
    </row>
    <row r="174" spans="1:18" x14ac:dyDescent="0.25">
      <c r="A174" s="47" t="s">
        <v>294</v>
      </c>
      <c r="B174" s="47" t="s">
        <v>295</v>
      </c>
      <c r="C174" s="50">
        <v>-2147078.29</v>
      </c>
      <c r="D174" s="50">
        <v>-238558.88</v>
      </c>
      <c r="E174" s="50">
        <v>-800.02</v>
      </c>
      <c r="F174" s="50">
        <v>900.02</v>
      </c>
      <c r="G174" s="50">
        <v>1908519.41</v>
      </c>
      <c r="H174" s="53">
        <f t="shared" si="7"/>
        <v>-1307984.17</v>
      </c>
      <c r="K174" s="57">
        <f>'Fælles adm.'!H175</f>
        <v>-1223402.74</v>
      </c>
      <c r="L174" s="57">
        <f>Odense!H175</f>
        <v>-46674.479999999981</v>
      </c>
      <c r="M174" s="57">
        <f>Laks!H175</f>
        <v>-8700</v>
      </c>
      <c r="N174" s="57">
        <f>Assens!H175</f>
        <v>-17967.75</v>
      </c>
      <c r="O174" s="57">
        <f>Nyborg!H175</f>
        <v>-239.19999999998254</v>
      </c>
      <c r="P174" s="57">
        <f>Nordfyn!H175</f>
        <v>-11000</v>
      </c>
      <c r="Q174" s="57">
        <f>Kerteminde!H175</f>
        <v>0</v>
      </c>
      <c r="R174" s="57">
        <f>'Særlige tilskud'!H175</f>
        <v>0</v>
      </c>
    </row>
    <row r="175" spans="1:18" x14ac:dyDescent="0.25">
      <c r="A175" s="47" t="s">
        <v>296</v>
      </c>
      <c r="B175" s="47" t="s">
        <v>297</v>
      </c>
      <c r="C175" s="50">
        <v>-21284.19</v>
      </c>
      <c r="D175" s="50">
        <v>-64200</v>
      </c>
      <c r="E175" s="50">
        <v>66.849999999999994</v>
      </c>
      <c r="F175" s="50">
        <v>33.15</v>
      </c>
      <c r="G175" s="50">
        <v>-42915.81</v>
      </c>
      <c r="H175" s="53">
        <f t="shared" si="7"/>
        <v>-64300</v>
      </c>
      <c r="K175" s="57">
        <f>'Fælles adm.'!H176</f>
        <v>-50000</v>
      </c>
      <c r="L175" s="57">
        <f>Odense!H176</f>
        <v>-6000</v>
      </c>
      <c r="M175" s="57">
        <f>Laks!H176</f>
        <v>-100</v>
      </c>
      <c r="N175" s="57">
        <f>Assens!H176</f>
        <v>-1200</v>
      </c>
      <c r="O175" s="57">
        <f>Nyborg!H176</f>
        <v>-1000</v>
      </c>
      <c r="P175" s="57">
        <f>Nordfyn!H176</f>
        <v>-3000</v>
      </c>
      <c r="Q175" s="57">
        <f>Kerteminde!H176</f>
        <v>-3000</v>
      </c>
      <c r="R175" s="57">
        <f>'Særlige tilskud'!H176</f>
        <v>0</v>
      </c>
    </row>
    <row r="176" spans="1:18" x14ac:dyDescent="0.25">
      <c r="A176" s="47" t="s">
        <v>298</v>
      </c>
      <c r="B176" s="47" t="s">
        <v>299</v>
      </c>
      <c r="C176" s="50">
        <v>-510707.83</v>
      </c>
      <c r="D176" s="50">
        <v>-1222000</v>
      </c>
      <c r="E176" s="50">
        <v>58.21</v>
      </c>
      <c r="F176" s="50">
        <v>41.79</v>
      </c>
      <c r="G176" s="50">
        <v>-711292.17</v>
      </c>
      <c r="H176" s="53">
        <f t="shared" si="7"/>
        <v>-1222477.28</v>
      </c>
      <c r="K176" s="57">
        <f>'Fælles adm.'!H177</f>
        <v>0</v>
      </c>
      <c r="L176" s="57">
        <f>Odense!H177</f>
        <v>-400000</v>
      </c>
      <c r="M176" s="57">
        <f>Laks!H177</f>
        <v>-477.28</v>
      </c>
      <c r="N176" s="57">
        <f>Assens!H177</f>
        <v>-250000</v>
      </c>
      <c r="O176" s="57">
        <f>Nyborg!H177</f>
        <v>-140000</v>
      </c>
      <c r="P176" s="57">
        <f>Nordfyn!H177</f>
        <v>-350000</v>
      </c>
      <c r="Q176" s="57">
        <f>Kerteminde!H177</f>
        <v>-82000</v>
      </c>
      <c r="R176" s="57">
        <f>'Særlige tilskud'!H177</f>
        <v>0</v>
      </c>
    </row>
    <row r="177" spans="1:18" x14ac:dyDescent="0.25">
      <c r="A177" s="47" t="s">
        <v>300</v>
      </c>
      <c r="B177" s="47" t="s">
        <v>301</v>
      </c>
      <c r="C177" s="50">
        <v>-272512.19</v>
      </c>
      <c r="D177" s="50">
        <v>-96619</v>
      </c>
      <c r="E177" s="50">
        <v>-182.05</v>
      </c>
      <c r="F177" s="50">
        <v>282.05</v>
      </c>
      <c r="G177" s="50">
        <v>175893.19</v>
      </c>
      <c r="H177" s="53">
        <f t="shared" si="7"/>
        <v>-284131.19</v>
      </c>
      <c r="K177" s="57">
        <f>'Fælles adm.'!H178</f>
        <v>-234162.44</v>
      </c>
      <c r="L177" s="57">
        <f>Odense!H178</f>
        <v>-10157.959999999999</v>
      </c>
      <c r="M177" s="57">
        <f>Laks!H178</f>
        <v>-14619</v>
      </c>
      <c r="N177" s="57">
        <f>Assens!H178</f>
        <v>-12191.79</v>
      </c>
      <c r="O177" s="57">
        <f>Nyborg!H178</f>
        <v>-4000</v>
      </c>
      <c r="P177" s="57">
        <f>Nordfyn!H178</f>
        <v>-5706</v>
      </c>
      <c r="Q177" s="57">
        <f>Kerteminde!H178</f>
        <v>-3294</v>
      </c>
      <c r="R177" s="57">
        <f>'Særlige tilskud'!H178</f>
        <v>0</v>
      </c>
    </row>
    <row r="178" spans="1:18" x14ac:dyDescent="0.25">
      <c r="A178" s="47" t="s">
        <v>302</v>
      </c>
      <c r="B178" s="47" t="s">
        <v>303</v>
      </c>
      <c r="C178" s="50">
        <v>-21386.720000000001</v>
      </c>
      <c r="D178" s="50">
        <v>-68000</v>
      </c>
      <c r="E178" s="50">
        <v>68.55</v>
      </c>
      <c r="F178" s="50">
        <v>31.45</v>
      </c>
      <c r="G178" s="50">
        <v>-46613.279999999999</v>
      </c>
      <c r="H178" s="53">
        <f t="shared" si="7"/>
        <v>-74635.94</v>
      </c>
      <c r="K178" s="57">
        <f>'Fælles adm.'!H179</f>
        <v>-20000</v>
      </c>
      <c r="L178" s="57">
        <f>Odense!H179</f>
        <v>-15000</v>
      </c>
      <c r="M178" s="57">
        <f>Laks!H179</f>
        <v>-551</v>
      </c>
      <c r="N178" s="57">
        <f>Assens!H179</f>
        <v>-10000</v>
      </c>
      <c r="O178" s="57">
        <f>Nyborg!H179</f>
        <v>-6084.94</v>
      </c>
      <c r="P178" s="57">
        <f>Nordfyn!H179</f>
        <v>-5000</v>
      </c>
      <c r="Q178" s="57">
        <f>Kerteminde!H179</f>
        <v>-18000</v>
      </c>
      <c r="R178" s="57">
        <f>'Særlige tilskud'!H179</f>
        <v>0</v>
      </c>
    </row>
    <row r="179" spans="1:18" x14ac:dyDescent="0.25">
      <c r="A179" s="47" t="s">
        <v>304</v>
      </c>
      <c r="B179" s="47" t="s">
        <v>305</v>
      </c>
      <c r="D179" s="50">
        <v>-90000</v>
      </c>
      <c r="E179" s="50">
        <v>100</v>
      </c>
      <c r="G179" s="50">
        <v>-90000</v>
      </c>
      <c r="H179" s="53">
        <f t="shared" si="7"/>
        <v>-45000</v>
      </c>
      <c r="K179" s="57">
        <f>'Fælles adm.'!H180</f>
        <v>-20000</v>
      </c>
      <c r="L179" s="57">
        <f>Odense!H180</f>
        <v>-5000</v>
      </c>
      <c r="M179" s="57">
        <f>Laks!H180</f>
        <v>0</v>
      </c>
      <c r="N179" s="57">
        <f>Assens!H180</f>
        <v>-5000</v>
      </c>
      <c r="O179" s="57">
        <f>Nyborg!H180</f>
        <v>-5000</v>
      </c>
      <c r="P179" s="57">
        <f>Nordfyn!H180</f>
        <v>-5000</v>
      </c>
      <c r="Q179" s="57">
        <f>Kerteminde!H180</f>
        <v>-5000</v>
      </c>
      <c r="R179" s="57">
        <f>'Særlige tilskud'!H180</f>
        <v>0</v>
      </c>
    </row>
    <row r="180" spans="1:18" x14ac:dyDescent="0.25">
      <c r="A180" s="47" t="s">
        <v>306</v>
      </c>
      <c r="B180" s="47" t="s">
        <v>307</v>
      </c>
      <c r="C180" s="50">
        <v>-157927.48000000001</v>
      </c>
      <c r="D180" s="50">
        <v>-165000</v>
      </c>
      <c r="E180" s="50">
        <v>4.29</v>
      </c>
      <c r="F180" s="50">
        <v>95.71</v>
      </c>
      <c r="G180" s="50">
        <v>-7072.52</v>
      </c>
      <c r="H180" s="53">
        <f t="shared" si="7"/>
        <v>-265000</v>
      </c>
      <c r="K180" s="57">
        <f>'Fælles adm.'!H181</f>
        <v>0</v>
      </c>
      <c r="L180" s="57">
        <f>Odense!H181</f>
        <v>-200000</v>
      </c>
      <c r="M180" s="57">
        <f>Laks!H181</f>
        <v>-10000</v>
      </c>
      <c r="N180" s="57">
        <f>Assens!H181</f>
        <v>-15000</v>
      </c>
      <c r="O180" s="57">
        <f>Nyborg!H181</f>
        <v>0</v>
      </c>
      <c r="P180" s="57">
        <f>Nordfyn!H181</f>
        <v>-10000</v>
      </c>
      <c r="Q180" s="57">
        <f>Kerteminde!H181</f>
        <v>-30000</v>
      </c>
      <c r="R180" s="57">
        <f>'Særlige tilskud'!H181</f>
        <v>0</v>
      </c>
    </row>
    <row r="181" spans="1:18" x14ac:dyDescent="0.25">
      <c r="A181" s="47" t="s">
        <v>308</v>
      </c>
      <c r="B181" s="47" t="s">
        <v>309</v>
      </c>
      <c r="C181" s="50">
        <v>28225.93</v>
      </c>
      <c r="D181" s="50">
        <v>-960000</v>
      </c>
      <c r="E181" s="50">
        <v>102.94</v>
      </c>
      <c r="F181" s="50">
        <v>-2.94</v>
      </c>
      <c r="G181" s="50">
        <v>-988225.93</v>
      </c>
      <c r="H181" s="53">
        <f t="shared" si="7"/>
        <v>-709736.15</v>
      </c>
      <c r="K181" s="57">
        <f>'Fælles adm.'!H182</f>
        <v>-600000</v>
      </c>
      <c r="L181" s="57">
        <f>Odense!H182</f>
        <v>170263.85</v>
      </c>
      <c r="M181" s="57">
        <f>Laks!H182</f>
        <v>-170000</v>
      </c>
      <c r="N181" s="57">
        <f>Assens!H182</f>
        <v>-20000</v>
      </c>
      <c r="O181" s="57">
        <f>Nyborg!H182</f>
        <v>-20000</v>
      </c>
      <c r="P181" s="57">
        <f>Nordfyn!H182</f>
        <v>-50000</v>
      </c>
      <c r="Q181" s="57">
        <f>Kerteminde!H182</f>
        <v>-20000</v>
      </c>
      <c r="R181" s="57">
        <f>'Særlige tilskud'!H182</f>
        <v>0</v>
      </c>
    </row>
    <row r="182" spans="1:18" x14ac:dyDescent="0.25">
      <c r="A182" s="47" t="s">
        <v>310</v>
      </c>
      <c r="B182" s="47" t="s">
        <v>311</v>
      </c>
      <c r="C182" s="50">
        <v>-1902</v>
      </c>
      <c r="D182" s="50">
        <v>-5100</v>
      </c>
      <c r="E182" s="50">
        <v>62.71</v>
      </c>
      <c r="F182" s="50">
        <v>37.29</v>
      </c>
      <c r="G182" s="50">
        <v>-3198</v>
      </c>
      <c r="H182" s="53">
        <f t="shared" si="7"/>
        <v>-6456</v>
      </c>
      <c r="K182" s="57">
        <f>'Fælles adm.'!H183</f>
        <v>-1456</v>
      </c>
      <c r="L182" s="57">
        <f>Odense!H183</f>
        <v>0</v>
      </c>
      <c r="M182" s="57">
        <f>Laks!H183</f>
        <v>0</v>
      </c>
      <c r="N182" s="57">
        <f>Assens!H183</f>
        <v>-5000</v>
      </c>
      <c r="O182" s="57">
        <f>Nyborg!H183</f>
        <v>0</v>
      </c>
      <c r="P182" s="57">
        <f>Nordfyn!H183</f>
        <v>0</v>
      </c>
      <c r="Q182" s="57">
        <f>Kerteminde!H183</f>
        <v>0</v>
      </c>
      <c r="R182" s="57">
        <f>'Særlige tilskud'!H183</f>
        <v>0</v>
      </c>
    </row>
    <row r="183" spans="1:18" x14ac:dyDescent="0.25">
      <c r="A183" s="47" t="s">
        <v>312</v>
      </c>
      <c r="B183" s="47" t="s">
        <v>313</v>
      </c>
      <c r="C183" s="50">
        <v>-122788.16</v>
      </c>
      <c r="D183" s="50">
        <v>-340000.02</v>
      </c>
      <c r="E183" s="50">
        <v>63.89</v>
      </c>
      <c r="F183" s="50">
        <v>36.11</v>
      </c>
      <c r="G183" s="50">
        <v>-217211.86</v>
      </c>
      <c r="H183" s="53">
        <f t="shared" si="7"/>
        <v>-326660.09999999998</v>
      </c>
      <c r="K183" s="57">
        <f>'Fælles adm.'!H184</f>
        <v>13339.92</v>
      </c>
      <c r="L183" s="57">
        <f>Odense!H184</f>
        <v>-145166.67000000001</v>
      </c>
      <c r="M183" s="57">
        <f>Laks!H184</f>
        <v>0</v>
      </c>
      <c r="N183" s="57">
        <f>Assens!H184</f>
        <v>-47666.67</v>
      </c>
      <c r="O183" s="57">
        <f>Nyborg!H184</f>
        <v>-43666.67</v>
      </c>
      <c r="P183" s="57">
        <f>Nordfyn!H184</f>
        <v>-51333.33</v>
      </c>
      <c r="Q183" s="57">
        <f>Kerteminde!H184</f>
        <v>-52166.68</v>
      </c>
      <c r="R183" s="57">
        <f>'Særlige tilskud'!H184</f>
        <v>0</v>
      </c>
    </row>
    <row r="184" spans="1:18" x14ac:dyDescent="0.25">
      <c r="A184" s="47" t="s">
        <v>314</v>
      </c>
      <c r="B184" s="47" t="s">
        <v>315</v>
      </c>
      <c r="C184" s="50">
        <v>-53954.52</v>
      </c>
      <c r="D184" s="50">
        <v>-263500</v>
      </c>
      <c r="E184" s="50">
        <v>79.52</v>
      </c>
      <c r="F184" s="50">
        <v>20.48</v>
      </c>
      <c r="G184" s="50">
        <v>-209545.48</v>
      </c>
      <c r="H184" s="53">
        <f t="shared" si="7"/>
        <v>-268000</v>
      </c>
      <c r="K184" s="57">
        <f>'Fælles adm.'!H185</f>
        <v>-4500</v>
      </c>
      <c r="L184" s="57">
        <f>Odense!H185</f>
        <v>-75000</v>
      </c>
      <c r="M184" s="57">
        <f>Laks!H185</f>
        <v>-20000</v>
      </c>
      <c r="N184" s="57">
        <f>Assens!H185</f>
        <v>-20000</v>
      </c>
      <c r="O184" s="57">
        <f>Nyborg!H185</f>
        <v>-45000</v>
      </c>
      <c r="P184" s="57">
        <f>Nordfyn!H185</f>
        <v>-60000</v>
      </c>
      <c r="Q184" s="57">
        <f>Kerteminde!H185</f>
        <v>-43500</v>
      </c>
      <c r="R184" s="57">
        <f>'Særlige tilskud'!H185</f>
        <v>0</v>
      </c>
    </row>
    <row r="185" spans="1:18" x14ac:dyDescent="0.25">
      <c r="A185" s="47" t="s">
        <v>316</v>
      </c>
      <c r="B185" s="47" t="s">
        <v>317</v>
      </c>
      <c r="C185" s="50">
        <v>-27715.03</v>
      </c>
      <c r="D185" s="50">
        <v>-117000</v>
      </c>
      <c r="E185" s="50">
        <v>76.31</v>
      </c>
      <c r="F185" s="50">
        <v>23.69</v>
      </c>
      <c r="G185" s="50">
        <v>-89284.97</v>
      </c>
      <c r="H185" s="53">
        <f t="shared" si="7"/>
        <v>-117000</v>
      </c>
      <c r="K185" s="57">
        <f>'Fælles adm.'!H186</f>
        <v>-10000</v>
      </c>
      <c r="L185" s="57">
        <f>Odense!H186</f>
        <v>-40000</v>
      </c>
      <c r="M185" s="57">
        <f>Laks!H186</f>
        <v>0</v>
      </c>
      <c r="N185" s="57">
        <f>Assens!H186</f>
        <v>-25000</v>
      </c>
      <c r="O185" s="57">
        <f>Nyborg!H186</f>
        <v>-15000</v>
      </c>
      <c r="P185" s="57">
        <f>Nordfyn!H186</f>
        <v>-15000</v>
      </c>
      <c r="Q185" s="57">
        <f>Kerteminde!H186</f>
        <v>-12000</v>
      </c>
      <c r="R185" s="57">
        <f>'Særlige tilskud'!H186</f>
        <v>0</v>
      </c>
    </row>
    <row r="186" spans="1:18" x14ac:dyDescent="0.25">
      <c r="A186" s="47" t="s">
        <v>318</v>
      </c>
      <c r="B186" s="47" t="s">
        <v>319</v>
      </c>
      <c r="C186" s="50">
        <v>-123297.54</v>
      </c>
      <c r="D186" s="50">
        <v>-1190688</v>
      </c>
      <c r="E186" s="50">
        <v>89.64</v>
      </c>
      <c r="F186" s="50">
        <v>10.36</v>
      </c>
      <c r="G186" s="50">
        <v>-1067390.46</v>
      </c>
      <c r="H186" s="53">
        <f t="shared" si="7"/>
        <v>-1190688</v>
      </c>
      <c r="K186" s="57">
        <f>'Fælles adm.'!H187</f>
        <v>-30000</v>
      </c>
      <c r="L186" s="57">
        <f>Odense!H187</f>
        <v>-500688</v>
      </c>
      <c r="M186" s="57">
        <f>Laks!H187</f>
        <v>-10000</v>
      </c>
      <c r="N186" s="57">
        <f>Assens!H187</f>
        <v>-100000</v>
      </c>
      <c r="O186" s="57">
        <f>Nyborg!H187</f>
        <v>-250000</v>
      </c>
      <c r="P186" s="57">
        <f>Nordfyn!H187</f>
        <v>-120000</v>
      </c>
      <c r="Q186" s="57">
        <f>Kerteminde!H187</f>
        <v>-180000</v>
      </c>
      <c r="R186" s="57">
        <f>'Særlige tilskud'!H187</f>
        <v>0</v>
      </c>
    </row>
    <row r="187" spans="1:18" x14ac:dyDescent="0.25">
      <c r="A187" s="47" t="s">
        <v>320</v>
      </c>
      <c r="B187" s="47" t="s">
        <v>321</v>
      </c>
      <c r="C187" s="50">
        <v>-32538.06</v>
      </c>
      <c r="D187" s="50">
        <v>-271999.99</v>
      </c>
      <c r="E187" s="50">
        <v>88.04</v>
      </c>
      <c r="F187" s="50">
        <v>11.96</v>
      </c>
      <c r="G187" s="50">
        <v>-239461.93</v>
      </c>
      <c r="H187" s="53">
        <f t="shared" si="7"/>
        <v>-272313.95</v>
      </c>
      <c r="K187" s="57">
        <f>'Fælles adm.'!H188</f>
        <v>-141.96</v>
      </c>
      <c r="L187" s="57">
        <f>Odense!H188</f>
        <v>-116133.33</v>
      </c>
      <c r="M187" s="57">
        <f>Laks!H188</f>
        <v>-172</v>
      </c>
      <c r="N187" s="57">
        <f>Assens!H188</f>
        <v>-38133.33</v>
      </c>
      <c r="O187" s="57">
        <f>Nyborg!H188</f>
        <v>-34933.33</v>
      </c>
      <c r="P187" s="57">
        <f>Nordfyn!H188</f>
        <v>-41066.67</v>
      </c>
      <c r="Q187" s="57">
        <f>Kerteminde!H188</f>
        <v>-41733.33</v>
      </c>
      <c r="R187" s="57">
        <f>'Særlige tilskud'!H188</f>
        <v>0</v>
      </c>
    </row>
    <row r="188" spans="1:18" x14ac:dyDescent="0.25">
      <c r="A188" s="47" t="s">
        <v>322</v>
      </c>
      <c r="B188" s="47" t="s">
        <v>323</v>
      </c>
      <c r="C188" s="50">
        <v>-1183182.6100000001</v>
      </c>
      <c r="D188" s="50">
        <v>-4683700</v>
      </c>
      <c r="E188" s="50">
        <v>74.739999999999995</v>
      </c>
      <c r="F188" s="50">
        <v>25.26</v>
      </c>
      <c r="G188" s="50">
        <v>-3500517.39</v>
      </c>
      <c r="H188" s="53">
        <f t="shared" si="7"/>
        <v>-4683700</v>
      </c>
      <c r="K188" s="57">
        <f>'Fælles adm.'!H189</f>
        <v>0</v>
      </c>
      <c r="L188" s="57">
        <f>Odense!H189</f>
        <v>-1200000</v>
      </c>
      <c r="M188" s="57">
        <f>Laks!H189</f>
        <v>-1000000</v>
      </c>
      <c r="N188" s="57">
        <f>Assens!H189</f>
        <v>-680360</v>
      </c>
      <c r="O188" s="57">
        <f>Nyborg!H189</f>
        <v>-550000</v>
      </c>
      <c r="P188" s="57">
        <f>Nordfyn!H189</f>
        <v>-425000</v>
      </c>
      <c r="Q188" s="57">
        <f>Kerteminde!H189</f>
        <v>-828340</v>
      </c>
      <c r="R188" s="57">
        <f>'Særlige tilskud'!H189</f>
        <v>0</v>
      </c>
    </row>
    <row r="189" spans="1:18" x14ac:dyDescent="0.25">
      <c r="A189" s="47" t="s">
        <v>324</v>
      </c>
      <c r="B189" s="47" t="s">
        <v>325</v>
      </c>
      <c r="C189" s="50">
        <v>-7842</v>
      </c>
      <c r="G189" s="50">
        <v>7842</v>
      </c>
      <c r="H189" s="53">
        <f t="shared" si="7"/>
        <v>-7842</v>
      </c>
      <c r="K189" s="57">
        <f>'Fælles adm.'!H190</f>
        <v>0</v>
      </c>
      <c r="L189" s="57">
        <f>Odense!H190</f>
        <v>-6960</v>
      </c>
      <c r="M189" s="57">
        <f>Laks!H190</f>
        <v>0</v>
      </c>
      <c r="N189" s="57">
        <f>Assens!H190</f>
        <v>0</v>
      </c>
      <c r="O189" s="57">
        <f>Nyborg!H190</f>
        <v>0</v>
      </c>
      <c r="P189" s="57">
        <f>Nordfyn!H190</f>
        <v>-882</v>
      </c>
      <c r="Q189" s="57">
        <f>Kerteminde!H190</f>
        <v>0</v>
      </c>
      <c r="R189" s="57">
        <f>'Særlige tilskud'!H190</f>
        <v>0</v>
      </c>
    </row>
    <row r="190" spans="1:18" x14ac:dyDescent="0.25">
      <c r="A190" s="47" t="s">
        <v>326</v>
      </c>
      <c r="B190" s="47" t="s">
        <v>327</v>
      </c>
      <c r="C190" s="50">
        <v>-98589.34</v>
      </c>
      <c r="D190" s="50">
        <v>-140000</v>
      </c>
      <c r="E190" s="50">
        <v>29.58</v>
      </c>
      <c r="F190" s="50">
        <v>70.42</v>
      </c>
      <c r="G190" s="50">
        <v>-41410.660000000003</v>
      </c>
      <c r="H190" s="53">
        <f t="shared" si="7"/>
        <v>-144030</v>
      </c>
      <c r="K190" s="57">
        <f>'Fælles adm.'!H191</f>
        <v>0</v>
      </c>
      <c r="L190" s="57">
        <f>Odense!H191</f>
        <v>-3053</v>
      </c>
      <c r="M190" s="57">
        <f>Laks!H191</f>
        <v>0</v>
      </c>
      <c r="N190" s="57">
        <f>Assens!H191</f>
        <v>-140000</v>
      </c>
      <c r="O190" s="57">
        <f>Nyborg!H191</f>
        <v>0</v>
      </c>
      <c r="P190" s="57">
        <f>Nordfyn!H191</f>
        <v>-977</v>
      </c>
      <c r="Q190" s="57">
        <f>Kerteminde!H191</f>
        <v>0</v>
      </c>
      <c r="R190" s="57">
        <f>'Særlige tilskud'!H191</f>
        <v>0</v>
      </c>
    </row>
    <row r="191" spans="1:18" x14ac:dyDescent="0.25">
      <c r="A191" s="47" t="s">
        <v>328</v>
      </c>
      <c r="B191" s="47" t="s">
        <v>329</v>
      </c>
      <c r="D191" s="50">
        <v>-674000</v>
      </c>
      <c r="E191" s="50">
        <v>100</v>
      </c>
      <c r="G191" s="50">
        <v>-674000</v>
      </c>
      <c r="H191" s="53">
        <f t="shared" si="7"/>
        <v>-674000</v>
      </c>
      <c r="K191" s="57">
        <f>'Fælles adm.'!H192</f>
        <v>0</v>
      </c>
      <c r="L191" s="57">
        <f>Odense!H192</f>
        <v>-250000</v>
      </c>
      <c r="M191" s="57">
        <f>Laks!H192</f>
        <v>0</v>
      </c>
      <c r="N191" s="57">
        <f>Assens!H192</f>
        <v>-252000</v>
      </c>
      <c r="O191" s="57">
        <f>Nyborg!H192</f>
        <v>-77000</v>
      </c>
      <c r="P191" s="57">
        <f>Nordfyn!H192</f>
        <v>-95000</v>
      </c>
      <c r="Q191" s="57">
        <f>Kerteminde!H192</f>
        <v>0</v>
      </c>
      <c r="R191" s="57">
        <f>'Særlige tilskud'!H192</f>
        <v>0</v>
      </c>
    </row>
    <row r="192" spans="1:18" x14ac:dyDescent="0.25">
      <c r="A192" s="47" t="s">
        <v>330</v>
      </c>
      <c r="B192" s="47" t="s">
        <v>331</v>
      </c>
      <c r="C192" s="50">
        <v>-149461.17000000001</v>
      </c>
      <c r="D192" s="50">
        <v>-570218</v>
      </c>
      <c r="E192" s="50">
        <v>73.790000000000006</v>
      </c>
      <c r="F192" s="50">
        <v>26.21</v>
      </c>
      <c r="G192" s="50">
        <v>-420756.83</v>
      </c>
      <c r="H192" s="53">
        <f t="shared" si="7"/>
        <v>-627632.4</v>
      </c>
      <c r="K192" s="57">
        <f>'Fælles adm.'!H193</f>
        <v>0</v>
      </c>
      <c r="L192" s="57">
        <f>Odense!H193</f>
        <v>-200000</v>
      </c>
      <c r="M192" s="57">
        <f>Laks!H193</f>
        <v>-87632.4</v>
      </c>
      <c r="N192" s="57">
        <f>Assens!H193</f>
        <v>-100000</v>
      </c>
      <c r="O192" s="57">
        <f>Nyborg!H193</f>
        <v>-100000</v>
      </c>
      <c r="P192" s="57">
        <f>Nordfyn!H193</f>
        <v>-100000</v>
      </c>
      <c r="Q192" s="57">
        <f>Kerteminde!H193</f>
        <v>-40000</v>
      </c>
      <c r="R192" s="57">
        <f>'Særlige tilskud'!H193</f>
        <v>0</v>
      </c>
    </row>
    <row r="193" spans="1:18" x14ac:dyDescent="0.25">
      <c r="A193" s="47" t="s">
        <v>332</v>
      </c>
      <c r="B193" s="47" t="s">
        <v>333</v>
      </c>
      <c r="H193" s="53">
        <f t="shared" si="7"/>
        <v>0</v>
      </c>
      <c r="K193" s="57">
        <f>'Fælles adm.'!H194</f>
        <v>0</v>
      </c>
      <c r="L193" s="57">
        <f>Odense!H194</f>
        <v>0</v>
      </c>
      <c r="M193" s="57">
        <f>Laks!H194</f>
        <v>0</v>
      </c>
      <c r="N193" s="57">
        <f>Assens!H194</f>
        <v>0</v>
      </c>
      <c r="O193" s="57">
        <f>Nyborg!H194</f>
        <v>0</v>
      </c>
      <c r="P193" s="57">
        <f>Nordfyn!H194</f>
        <v>0</v>
      </c>
      <c r="Q193" s="57">
        <f>Kerteminde!H194</f>
        <v>0</v>
      </c>
      <c r="R193" s="57">
        <f>'Særlige tilskud'!H194</f>
        <v>0</v>
      </c>
    </row>
    <row r="194" spans="1:18" x14ac:dyDescent="0.25">
      <c r="A194" s="47" t="s">
        <v>334</v>
      </c>
      <c r="B194" s="47" t="s">
        <v>335</v>
      </c>
      <c r="C194" s="50">
        <v>-1.62</v>
      </c>
      <c r="D194" s="50">
        <v>22.49</v>
      </c>
      <c r="E194" s="50">
        <v>107.2</v>
      </c>
      <c r="F194" s="50">
        <v>-7.2</v>
      </c>
      <c r="G194" s="50">
        <v>24.11</v>
      </c>
      <c r="H194" s="53">
        <f t="shared" si="7"/>
        <v>22.49</v>
      </c>
      <c r="K194" s="57">
        <f>'Fælles adm.'!H195</f>
        <v>20.49</v>
      </c>
      <c r="L194" s="57">
        <f>Odense!H195</f>
        <v>1</v>
      </c>
      <c r="M194" s="57">
        <f>Laks!H195</f>
        <v>0</v>
      </c>
      <c r="N194" s="57">
        <f>Assens!H195</f>
        <v>1</v>
      </c>
      <c r="O194" s="57">
        <f>Nyborg!H195</f>
        <v>0</v>
      </c>
      <c r="P194" s="57">
        <f>Nordfyn!H195</f>
        <v>0</v>
      </c>
      <c r="Q194" s="57">
        <f>Kerteminde!H195</f>
        <v>0</v>
      </c>
      <c r="R194" s="57">
        <f>'Særlige tilskud'!H195</f>
        <v>0</v>
      </c>
    </row>
    <row r="195" spans="1:18" x14ac:dyDescent="0.25">
      <c r="A195" s="47" t="s">
        <v>336</v>
      </c>
      <c r="B195" s="47" t="s">
        <v>337</v>
      </c>
      <c r="H195" s="53">
        <f t="shared" si="7"/>
        <v>0</v>
      </c>
      <c r="K195" s="57">
        <f>'Fælles adm.'!H196</f>
        <v>0</v>
      </c>
      <c r="L195" s="57">
        <f>Odense!H196</f>
        <v>0</v>
      </c>
      <c r="M195" s="57">
        <f>Laks!H196</f>
        <v>0</v>
      </c>
      <c r="N195" s="57">
        <f>Assens!H196</f>
        <v>0</v>
      </c>
      <c r="O195" s="57">
        <f>Nyborg!H196</f>
        <v>0</v>
      </c>
      <c r="P195" s="57">
        <f>Nordfyn!H196</f>
        <v>0</v>
      </c>
      <c r="Q195" s="57">
        <f>Kerteminde!H196</f>
        <v>0</v>
      </c>
      <c r="R195" s="57">
        <f>'Særlige tilskud'!H196</f>
        <v>0</v>
      </c>
    </row>
    <row r="196" spans="1:18" x14ac:dyDescent="0.25">
      <c r="A196" s="47" t="s">
        <v>338</v>
      </c>
      <c r="B196" s="47" t="s">
        <v>339</v>
      </c>
      <c r="H196" s="53">
        <f t="shared" si="7"/>
        <v>0</v>
      </c>
      <c r="K196" s="57">
        <f>'Fælles adm.'!H197</f>
        <v>0</v>
      </c>
      <c r="L196" s="57">
        <f>Odense!H197</f>
        <v>0</v>
      </c>
      <c r="M196" s="57">
        <f>Laks!H197</f>
        <v>0</v>
      </c>
      <c r="N196" s="57">
        <f>Assens!H197</f>
        <v>0</v>
      </c>
      <c r="O196" s="57">
        <f>Nyborg!H197</f>
        <v>0</v>
      </c>
      <c r="P196" s="57">
        <f>Nordfyn!H197</f>
        <v>0</v>
      </c>
      <c r="Q196" s="57">
        <f>Kerteminde!H197</f>
        <v>0</v>
      </c>
      <c r="R196" s="57">
        <f>'Særlige tilskud'!H197</f>
        <v>0</v>
      </c>
    </row>
    <row r="197" spans="1:18" x14ac:dyDescent="0.25">
      <c r="A197" s="48" t="s">
        <v>340</v>
      </c>
      <c r="B197" s="48" t="s">
        <v>341</v>
      </c>
      <c r="C197" s="51">
        <v>-9145002.5</v>
      </c>
      <c r="D197" s="51">
        <v>-30277905.449999999</v>
      </c>
      <c r="E197" s="51">
        <v>69.8</v>
      </c>
      <c r="F197" s="51">
        <v>30.2</v>
      </c>
      <c r="G197" s="51">
        <v>-21132902.949999999</v>
      </c>
      <c r="H197" s="5">
        <f t="shared" si="7"/>
        <v>-28864549.32</v>
      </c>
      <c r="K197" s="8">
        <f>'Fælles adm.'!H198</f>
        <v>2910951.8299999977</v>
      </c>
      <c r="L197" s="8">
        <f>Odense!H198</f>
        <v>-9840222.4541999996</v>
      </c>
      <c r="M197" s="8">
        <f>Laks!H198</f>
        <v>-1917458.9699999997</v>
      </c>
      <c r="N197" s="8">
        <f>Assens!H198</f>
        <v>-3693698.4315999998</v>
      </c>
      <c r="O197" s="8">
        <f>Nyborg!H198</f>
        <v>-3278894.1409999994</v>
      </c>
      <c r="P197" s="8">
        <f>Nordfyn!H198</f>
        <v>-3779107.4809999992</v>
      </c>
      <c r="Q197" s="8">
        <f>Kerteminde!H198</f>
        <v>-3896119.6721999999</v>
      </c>
      <c r="R197" s="8">
        <f>'Særlige tilskud'!H198</f>
        <v>-5370000</v>
      </c>
    </row>
    <row r="198" spans="1:18" x14ac:dyDescent="0.25">
      <c r="A198" s="47" t="s">
        <v>12</v>
      </c>
      <c r="B198" s="47" t="s">
        <v>12</v>
      </c>
      <c r="H198" s="53"/>
      <c r="K198" s="57"/>
      <c r="L198" s="57"/>
      <c r="M198" s="57"/>
      <c r="N198" s="57"/>
      <c r="O198" s="57"/>
      <c r="P198" s="57"/>
      <c r="Q198" s="57"/>
      <c r="R198" s="57"/>
    </row>
    <row r="199" spans="1:18" x14ac:dyDescent="0.25">
      <c r="A199" s="48" t="s">
        <v>342</v>
      </c>
      <c r="B199" s="48" t="s">
        <v>343</v>
      </c>
      <c r="C199" s="51"/>
      <c r="D199" s="51"/>
      <c r="E199" s="51"/>
      <c r="F199" s="51"/>
      <c r="G199" s="51"/>
      <c r="H199" s="5"/>
      <c r="K199" s="57"/>
      <c r="L199" s="57"/>
      <c r="M199" s="57"/>
      <c r="N199" s="57"/>
      <c r="O199" s="57"/>
      <c r="P199" s="57"/>
      <c r="Q199" s="57"/>
      <c r="R199" s="57"/>
    </row>
    <row r="200" spans="1:18" x14ac:dyDescent="0.25">
      <c r="A200" s="47" t="s">
        <v>344</v>
      </c>
      <c r="B200" s="47" t="s">
        <v>345</v>
      </c>
      <c r="H200" s="53">
        <f t="shared" ref="H200:H208" si="8">SUM(K200:R200)</f>
        <v>0</v>
      </c>
      <c r="K200" s="57">
        <f>'Fælles adm.'!H201</f>
        <v>0</v>
      </c>
      <c r="L200" s="57">
        <f>Odense!H201</f>
        <v>0</v>
      </c>
      <c r="M200" s="57">
        <f>Laks!H201</f>
        <v>0</v>
      </c>
      <c r="N200" s="57">
        <f>Assens!H201</f>
        <v>0</v>
      </c>
      <c r="O200" s="57">
        <f>Nyborg!H201</f>
        <v>0</v>
      </c>
      <c r="P200" s="57">
        <f>Nordfyn!H201</f>
        <v>0</v>
      </c>
      <c r="Q200" s="57">
        <f>Kerteminde!H201</f>
        <v>0</v>
      </c>
      <c r="R200" s="57">
        <f>'Særlige tilskud'!H201</f>
        <v>0</v>
      </c>
    </row>
    <row r="201" spans="1:18" x14ac:dyDescent="0.25">
      <c r="A201" s="47" t="s">
        <v>346</v>
      </c>
      <c r="B201" s="47" t="s">
        <v>347</v>
      </c>
      <c r="H201" s="53">
        <f t="shared" si="8"/>
        <v>0</v>
      </c>
      <c r="K201" s="57">
        <f>'Fælles adm.'!H202</f>
        <v>0</v>
      </c>
      <c r="L201" s="57">
        <f>Odense!H202</f>
        <v>0</v>
      </c>
      <c r="M201" s="57">
        <f>Laks!H202</f>
        <v>0</v>
      </c>
      <c r="N201" s="57">
        <f>Assens!H202</f>
        <v>0</v>
      </c>
      <c r="O201" s="57">
        <f>Nyborg!H202</f>
        <v>0</v>
      </c>
      <c r="P201" s="57">
        <f>Nordfyn!H202</f>
        <v>0</v>
      </c>
      <c r="Q201" s="57">
        <f>Kerteminde!H202</f>
        <v>0</v>
      </c>
      <c r="R201" s="57">
        <f>'Særlige tilskud'!H202</f>
        <v>0</v>
      </c>
    </row>
    <row r="202" spans="1:18" x14ac:dyDescent="0.25">
      <c r="A202" s="47" t="s">
        <v>348</v>
      </c>
      <c r="B202" s="47" t="s">
        <v>349</v>
      </c>
      <c r="D202" s="50">
        <v>42000</v>
      </c>
      <c r="E202" s="50">
        <v>100</v>
      </c>
      <c r="G202" s="50">
        <v>42000</v>
      </c>
      <c r="H202" s="53">
        <f t="shared" si="8"/>
        <v>1000</v>
      </c>
      <c r="K202" s="57">
        <f>'Fælles adm.'!H203</f>
        <v>0</v>
      </c>
      <c r="L202" s="57">
        <f>Odense!H203</f>
        <v>0</v>
      </c>
      <c r="M202" s="57">
        <f>Laks!H203</f>
        <v>0</v>
      </c>
      <c r="N202" s="57">
        <f>Assens!H203</f>
        <v>1000</v>
      </c>
      <c r="O202" s="57">
        <f>Nyborg!H203</f>
        <v>0</v>
      </c>
      <c r="P202" s="57">
        <f>Nordfyn!H203</f>
        <v>0</v>
      </c>
      <c r="Q202" s="57">
        <f>Kerteminde!H203</f>
        <v>0</v>
      </c>
      <c r="R202" s="57">
        <f>'Særlige tilskud'!H203</f>
        <v>0</v>
      </c>
    </row>
    <row r="203" spans="1:18" x14ac:dyDescent="0.25">
      <c r="A203" s="47" t="s">
        <v>350</v>
      </c>
      <c r="B203" s="47" t="s">
        <v>351</v>
      </c>
      <c r="H203" s="53">
        <f t="shared" si="8"/>
        <v>0</v>
      </c>
      <c r="K203" s="57">
        <f>'Fælles adm.'!H204</f>
        <v>0</v>
      </c>
      <c r="L203" s="57">
        <f>Odense!H204</f>
        <v>0</v>
      </c>
      <c r="M203" s="57">
        <f>Laks!H204</f>
        <v>0</v>
      </c>
      <c r="N203" s="57">
        <f>Assens!H204</f>
        <v>0</v>
      </c>
      <c r="O203" s="57">
        <f>Nyborg!H204</f>
        <v>0</v>
      </c>
      <c r="P203" s="57">
        <f>Nordfyn!H204</f>
        <v>0</v>
      </c>
      <c r="Q203" s="57">
        <f>Kerteminde!H204</f>
        <v>0</v>
      </c>
      <c r="R203" s="57">
        <f>'Særlige tilskud'!H204</f>
        <v>0</v>
      </c>
    </row>
    <row r="204" spans="1:18" x14ac:dyDescent="0.25">
      <c r="A204" s="47" t="s">
        <v>352</v>
      </c>
      <c r="B204" s="47" t="s">
        <v>353</v>
      </c>
      <c r="H204" s="53">
        <f t="shared" si="8"/>
        <v>0</v>
      </c>
      <c r="K204" s="57">
        <f>'Fælles adm.'!H205</f>
        <v>0</v>
      </c>
      <c r="L204" s="57">
        <f>Odense!H205</f>
        <v>0</v>
      </c>
      <c r="M204" s="57">
        <f>Laks!H205</f>
        <v>0</v>
      </c>
      <c r="N204" s="57">
        <f>Assens!H205</f>
        <v>0</v>
      </c>
      <c r="O204" s="57">
        <f>Nyborg!H205</f>
        <v>0</v>
      </c>
      <c r="P204" s="57">
        <f>Nordfyn!H205</f>
        <v>0</v>
      </c>
      <c r="Q204" s="57">
        <f>Kerteminde!H205</f>
        <v>0</v>
      </c>
      <c r="R204" s="57">
        <f>'Særlige tilskud'!H205</f>
        <v>0</v>
      </c>
    </row>
    <row r="205" spans="1:18" x14ac:dyDescent="0.25">
      <c r="A205" s="47" t="s">
        <v>354</v>
      </c>
      <c r="B205" s="47" t="s">
        <v>355</v>
      </c>
      <c r="C205" s="50">
        <v>-1246.72</v>
      </c>
      <c r="G205" s="50">
        <v>1246.72</v>
      </c>
      <c r="H205" s="53">
        <f t="shared" si="8"/>
        <v>-1246.72</v>
      </c>
      <c r="K205" s="57">
        <f>'Fælles adm.'!H206</f>
        <v>418.28</v>
      </c>
      <c r="L205" s="57">
        <f>Odense!H206</f>
        <v>-1665</v>
      </c>
      <c r="M205" s="57">
        <f>Laks!H206</f>
        <v>0</v>
      </c>
      <c r="N205" s="57">
        <f>Assens!H206</f>
        <v>0</v>
      </c>
      <c r="O205" s="57">
        <f>Nyborg!H206</f>
        <v>0</v>
      </c>
      <c r="P205" s="57">
        <f>Nordfyn!H206</f>
        <v>0</v>
      </c>
      <c r="Q205" s="57">
        <f>Kerteminde!H206</f>
        <v>0</v>
      </c>
      <c r="R205" s="57">
        <f>'Særlige tilskud'!H206</f>
        <v>0</v>
      </c>
    </row>
    <row r="206" spans="1:18" x14ac:dyDescent="0.25">
      <c r="A206" s="47" t="s">
        <v>356</v>
      </c>
      <c r="B206" s="47" t="s">
        <v>357</v>
      </c>
      <c r="H206" s="53">
        <f t="shared" si="8"/>
        <v>0</v>
      </c>
      <c r="K206" s="57">
        <f>'Fælles adm.'!H207</f>
        <v>0</v>
      </c>
      <c r="L206" s="57">
        <f>Odense!H207</f>
        <v>0</v>
      </c>
      <c r="M206" s="57">
        <f>Laks!H207</f>
        <v>0</v>
      </c>
      <c r="N206" s="57">
        <f>Assens!H207</f>
        <v>0</v>
      </c>
      <c r="O206" s="57">
        <f>Nyborg!H207</f>
        <v>0</v>
      </c>
      <c r="P206" s="57">
        <f>Nordfyn!H207</f>
        <v>0</v>
      </c>
      <c r="Q206" s="57">
        <f>Kerteminde!H207</f>
        <v>0</v>
      </c>
      <c r="R206" s="57">
        <f>'Særlige tilskud'!H207</f>
        <v>0</v>
      </c>
    </row>
    <row r="207" spans="1:18" x14ac:dyDescent="0.25">
      <c r="A207" s="47" t="s">
        <v>358</v>
      </c>
      <c r="B207" s="47" t="s">
        <v>359</v>
      </c>
      <c r="H207" s="53">
        <f t="shared" si="8"/>
        <v>0</v>
      </c>
      <c r="K207" s="57">
        <f>'Fælles adm.'!H208</f>
        <v>0</v>
      </c>
      <c r="L207" s="57">
        <f>Odense!H208</f>
        <v>0</v>
      </c>
      <c r="M207" s="57">
        <f>Laks!H208</f>
        <v>0</v>
      </c>
      <c r="N207" s="57">
        <f>Assens!H208</f>
        <v>0</v>
      </c>
      <c r="O207" s="57">
        <f>Nyborg!H208</f>
        <v>0</v>
      </c>
      <c r="P207" s="57">
        <f>Nordfyn!H208</f>
        <v>0</v>
      </c>
      <c r="Q207" s="57">
        <f>Kerteminde!H208</f>
        <v>0</v>
      </c>
      <c r="R207" s="57">
        <f>'Særlige tilskud'!H208</f>
        <v>0</v>
      </c>
    </row>
    <row r="208" spans="1:18" x14ac:dyDescent="0.25">
      <c r="A208" s="48" t="s">
        <v>360</v>
      </c>
      <c r="B208" s="48" t="s">
        <v>361</v>
      </c>
      <c r="C208" s="51">
        <v>-1246.72</v>
      </c>
      <c r="D208" s="51">
        <v>42000</v>
      </c>
      <c r="E208" s="51">
        <v>102.97</v>
      </c>
      <c r="F208" s="51">
        <v>-2.97</v>
      </c>
      <c r="G208" s="51">
        <v>43246.720000000001</v>
      </c>
      <c r="H208" s="5">
        <f t="shared" si="8"/>
        <v>-246.72000000000003</v>
      </c>
      <c r="K208" s="8">
        <f>'Fælles adm.'!H209</f>
        <v>418.28</v>
      </c>
      <c r="L208" s="8">
        <f>Odense!H209</f>
        <v>-1665</v>
      </c>
      <c r="M208" s="8">
        <f>Laks!H209</f>
        <v>0</v>
      </c>
      <c r="N208" s="8">
        <f>Assens!H209</f>
        <v>1000</v>
      </c>
      <c r="O208" s="8">
        <f>Nyborg!H209</f>
        <v>0</v>
      </c>
      <c r="P208" s="8">
        <f>Nordfyn!H209</f>
        <v>0</v>
      </c>
      <c r="Q208" s="8">
        <f>Kerteminde!H209</f>
        <v>0</v>
      </c>
      <c r="R208" s="8">
        <f>'Særlige tilskud'!H209</f>
        <v>0</v>
      </c>
    </row>
    <row r="209" spans="1:18" x14ac:dyDescent="0.25">
      <c r="A209" s="47" t="s">
        <v>12</v>
      </c>
      <c r="B209" s="47" t="s">
        <v>12</v>
      </c>
      <c r="H209" s="53"/>
      <c r="K209" s="57"/>
      <c r="L209" s="57"/>
      <c r="M209" s="57"/>
      <c r="N209" s="57"/>
      <c r="O209" s="57"/>
      <c r="P209" s="57"/>
      <c r="Q209" s="57"/>
      <c r="R209" s="57"/>
    </row>
    <row r="210" spans="1:18" x14ac:dyDescent="0.25">
      <c r="A210" s="48" t="s">
        <v>362</v>
      </c>
      <c r="B210" s="48" t="s">
        <v>40</v>
      </c>
      <c r="C210" s="51"/>
      <c r="D210" s="51"/>
      <c r="E210" s="51"/>
      <c r="F210" s="51"/>
      <c r="G210" s="51"/>
      <c r="H210" s="5"/>
      <c r="K210" s="57"/>
      <c r="L210" s="57"/>
      <c r="M210" s="57"/>
      <c r="N210" s="57"/>
      <c r="O210" s="57"/>
      <c r="P210" s="57"/>
      <c r="Q210" s="57"/>
      <c r="R210" s="57"/>
    </row>
    <row r="211" spans="1:18" x14ac:dyDescent="0.25">
      <c r="A211" s="47" t="s">
        <v>363</v>
      </c>
      <c r="B211" s="47" t="s">
        <v>364</v>
      </c>
      <c r="D211" s="50">
        <v>-245.74</v>
      </c>
      <c r="E211" s="50">
        <v>100</v>
      </c>
      <c r="G211" s="50">
        <v>-245.74</v>
      </c>
      <c r="H211" s="53">
        <f t="shared" ref="H211:H218" si="9">SUM(K211:R211)</f>
        <v>-245.74</v>
      </c>
      <c r="K211" s="57">
        <f>'Fælles adm.'!H212</f>
        <v>-245.74</v>
      </c>
      <c r="L211" s="57">
        <f>Odense!H212</f>
        <v>0</v>
      </c>
      <c r="M211" s="57">
        <f>Laks!H212</f>
        <v>0</v>
      </c>
      <c r="N211" s="57">
        <f>Assens!H212</f>
        <v>0</v>
      </c>
      <c r="O211" s="57">
        <f>Nyborg!H212</f>
        <v>0</v>
      </c>
      <c r="P211" s="57">
        <f>Nordfyn!H212</f>
        <v>0</v>
      </c>
      <c r="Q211" s="57">
        <f>Kerteminde!H212</f>
        <v>0</v>
      </c>
      <c r="R211" s="57">
        <f>'Særlige tilskud'!H212</f>
        <v>0</v>
      </c>
    </row>
    <row r="212" spans="1:18" x14ac:dyDescent="0.25">
      <c r="A212" s="47" t="s">
        <v>365</v>
      </c>
      <c r="B212" s="47" t="s">
        <v>366</v>
      </c>
      <c r="C212" s="50">
        <v>-120582.87</v>
      </c>
      <c r="D212" s="50">
        <v>-456010</v>
      </c>
      <c r="E212" s="50">
        <v>73.56</v>
      </c>
      <c r="F212" s="50">
        <v>26.44</v>
      </c>
      <c r="G212" s="50">
        <v>-335427.13</v>
      </c>
      <c r="H212" s="53">
        <f t="shared" si="9"/>
        <v>-283562</v>
      </c>
      <c r="K212" s="57">
        <f>'Fælles adm.'!H213</f>
        <v>0</v>
      </c>
      <c r="L212" s="57">
        <f>Odense!H213</f>
        <v>0</v>
      </c>
      <c r="M212" s="57">
        <f>Laks!H213</f>
        <v>0</v>
      </c>
      <c r="N212" s="57">
        <f>Assens!H213</f>
        <v>0</v>
      </c>
      <c r="O212" s="57">
        <f>Nyborg!H213</f>
        <v>0</v>
      </c>
      <c r="P212" s="57">
        <f>Nordfyn!H213</f>
        <v>-33562</v>
      </c>
      <c r="Q212" s="57">
        <f>Kerteminde!H213</f>
        <v>-250000</v>
      </c>
      <c r="R212" s="57">
        <f>'Særlige tilskud'!H213</f>
        <v>0</v>
      </c>
    </row>
    <row r="213" spans="1:18" x14ac:dyDescent="0.25">
      <c r="A213" s="47" t="s">
        <v>367</v>
      </c>
      <c r="B213" s="47" t="s">
        <v>368</v>
      </c>
      <c r="C213" s="50">
        <v>-3697.24</v>
      </c>
      <c r="G213" s="50">
        <v>3697.24</v>
      </c>
      <c r="H213" s="53">
        <f t="shared" si="9"/>
        <v>-3697.24</v>
      </c>
      <c r="K213" s="57">
        <f>'Fælles adm.'!H214</f>
        <v>-3632.24</v>
      </c>
      <c r="L213" s="57">
        <f>Odense!H214</f>
        <v>0</v>
      </c>
      <c r="M213" s="57">
        <f>Laks!H214</f>
        <v>0</v>
      </c>
      <c r="N213" s="57">
        <f>Assens!H214</f>
        <v>0</v>
      </c>
      <c r="O213" s="57">
        <f>Nyborg!H214</f>
        <v>0</v>
      </c>
      <c r="P213" s="57">
        <f>Nordfyn!H214</f>
        <v>0</v>
      </c>
      <c r="Q213" s="57">
        <f>Kerteminde!H214</f>
        <v>-65</v>
      </c>
      <c r="R213" s="57">
        <f>'Særlige tilskud'!H214</f>
        <v>0</v>
      </c>
    </row>
    <row r="214" spans="1:18" x14ac:dyDescent="0.25">
      <c r="A214" s="47" t="s">
        <v>369</v>
      </c>
      <c r="B214" s="47" t="s">
        <v>370</v>
      </c>
      <c r="C214" s="50">
        <v>-7016.51</v>
      </c>
      <c r="D214" s="50">
        <v>-7227.84</v>
      </c>
      <c r="E214" s="50">
        <v>2.92</v>
      </c>
      <c r="F214" s="50">
        <v>97.08</v>
      </c>
      <c r="G214" s="50">
        <v>-211.33</v>
      </c>
      <c r="H214" s="53">
        <f t="shared" si="9"/>
        <v>-13170.32</v>
      </c>
      <c r="K214" s="57">
        <f>'Fælles adm.'!H215</f>
        <v>-7227.84</v>
      </c>
      <c r="L214" s="57">
        <f>Odense!H215</f>
        <v>-2563.59</v>
      </c>
      <c r="M214" s="57">
        <f>Laks!H215</f>
        <v>0</v>
      </c>
      <c r="N214" s="57">
        <f>Assens!H215</f>
        <v>-1626.3</v>
      </c>
      <c r="O214" s="57">
        <f>Nyborg!H215</f>
        <v>-313.33</v>
      </c>
      <c r="P214" s="57">
        <f>Nordfyn!H215</f>
        <v>-588.23</v>
      </c>
      <c r="Q214" s="57">
        <f>Kerteminde!H215</f>
        <v>-851.03</v>
      </c>
      <c r="R214" s="57">
        <f>'Særlige tilskud'!H215</f>
        <v>0</v>
      </c>
    </row>
    <row r="215" spans="1:18" x14ac:dyDescent="0.25">
      <c r="A215" s="47" t="s">
        <v>371</v>
      </c>
      <c r="B215" s="47" t="s">
        <v>372</v>
      </c>
      <c r="H215" s="53">
        <f t="shared" si="9"/>
        <v>0</v>
      </c>
      <c r="K215" s="57">
        <f>'Fælles adm.'!H216</f>
        <v>0</v>
      </c>
      <c r="L215" s="57">
        <f>Odense!H216</f>
        <v>0</v>
      </c>
      <c r="M215" s="57">
        <f>Laks!H216</f>
        <v>0</v>
      </c>
      <c r="N215" s="57">
        <f>Assens!H216</f>
        <v>0</v>
      </c>
      <c r="O215" s="57">
        <f>Nyborg!H216</f>
        <v>0</v>
      </c>
      <c r="P215" s="57">
        <f>Nordfyn!H216</f>
        <v>0</v>
      </c>
      <c r="Q215" s="57">
        <f>Kerteminde!H216</f>
        <v>0</v>
      </c>
      <c r="R215" s="57">
        <f>'Særlige tilskud'!H216</f>
        <v>0</v>
      </c>
    </row>
    <row r="216" spans="1:18" x14ac:dyDescent="0.25">
      <c r="A216" s="47" t="s">
        <v>373</v>
      </c>
      <c r="B216" s="47" t="s">
        <v>374</v>
      </c>
      <c r="H216" s="53">
        <f t="shared" si="9"/>
        <v>0</v>
      </c>
      <c r="K216" s="57">
        <f>'Fælles adm.'!H217</f>
        <v>0</v>
      </c>
      <c r="L216" s="57">
        <f>Odense!H217</f>
        <v>0</v>
      </c>
      <c r="M216" s="57">
        <f>Laks!H217</f>
        <v>0</v>
      </c>
      <c r="N216" s="57">
        <f>Assens!H217</f>
        <v>0</v>
      </c>
      <c r="O216" s="57">
        <f>Nyborg!H217</f>
        <v>0</v>
      </c>
      <c r="P216" s="57">
        <f>Nordfyn!H217</f>
        <v>0</v>
      </c>
      <c r="Q216" s="57">
        <f>Kerteminde!H217</f>
        <v>0</v>
      </c>
      <c r="R216" s="57">
        <f>'Særlige tilskud'!H217</f>
        <v>0</v>
      </c>
    </row>
    <row r="217" spans="1:18" x14ac:dyDescent="0.25">
      <c r="A217" s="47" t="s">
        <v>375</v>
      </c>
      <c r="B217" s="47" t="s">
        <v>376</v>
      </c>
      <c r="C217" s="50">
        <v>-307.70999999999998</v>
      </c>
      <c r="G217" s="50">
        <v>307.70999999999998</v>
      </c>
      <c r="H217" s="53">
        <f t="shared" si="9"/>
        <v>-307.70999999999998</v>
      </c>
      <c r="K217" s="57">
        <f>'Fælles adm.'!H218</f>
        <v>0</v>
      </c>
      <c r="L217" s="57">
        <f>Odense!H218</f>
        <v>0</v>
      </c>
      <c r="M217" s="57">
        <f>Laks!H218</f>
        <v>0</v>
      </c>
      <c r="N217" s="57">
        <f>Assens!H218</f>
        <v>-307.70999999999998</v>
      </c>
      <c r="O217" s="57">
        <f>Nyborg!H218</f>
        <v>0</v>
      </c>
      <c r="P217" s="57">
        <f>Nordfyn!H218</f>
        <v>0</v>
      </c>
      <c r="Q217" s="57">
        <f>Kerteminde!H218</f>
        <v>0</v>
      </c>
      <c r="R217" s="57">
        <f>'Særlige tilskud'!H218</f>
        <v>0</v>
      </c>
    </row>
    <row r="218" spans="1:18" x14ac:dyDescent="0.25">
      <c r="A218" s="48" t="s">
        <v>377</v>
      </c>
      <c r="B218" s="48" t="s">
        <v>378</v>
      </c>
      <c r="C218" s="51">
        <v>-131604.32999999999</v>
      </c>
      <c r="D218" s="51">
        <v>-463483.58</v>
      </c>
      <c r="E218" s="51">
        <v>71.61</v>
      </c>
      <c r="F218" s="51">
        <v>28.39</v>
      </c>
      <c r="G218" s="51">
        <v>-331879.25</v>
      </c>
      <c r="H218" s="5">
        <f t="shared" si="9"/>
        <v>-300983.01</v>
      </c>
      <c r="K218" s="8">
        <f>'Fælles adm.'!H219</f>
        <v>-11105.82</v>
      </c>
      <c r="L218" s="8">
        <f>Odense!H219</f>
        <v>-2563.59</v>
      </c>
      <c r="M218" s="8">
        <f>Laks!H219</f>
        <v>0</v>
      </c>
      <c r="N218" s="8">
        <f>Assens!H219</f>
        <v>-1934.01</v>
      </c>
      <c r="O218" s="8">
        <f>Nyborg!H219</f>
        <v>-313.33</v>
      </c>
      <c r="P218" s="8">
        <f>Nordfyn!H219</f>
        <v>-34150.230000000003</v>
      </c>
      <c r="Q218" s="8">
        <f>Kerteminde!H219</f>
        <v>-250916.03</v>
      </c>
      <c r="R218" s="8">
        <f>'Særlige tilskud'!H219</f>
        <v>0</v>
      </c>
    </row>
    <row r="219" spans="1:18" x14ac:dyDescent="0.25">
      <c r="A219" s="47" t="s">
        <v>12</v>
      </c>
      <c r="B219" s="47" t="s">
        <v>12</v>
      </c>
      <c r="H219" s="53"/>
      <c r="K219" s="57"/>
      <c r="L219" s="57"/>
      <c r="M219" s="57"/>
      <c r="N219" s="57"/>
      <c r="O219" s="57"/>
      <c r="P219" s="57"/>
      <c r="Q219" s="57"/>
      <c r="R219" s="57"/>
    </row>
    <row r="220" spans="1:18" x14ac:dyDescent="0.25">
      <c r="A220" s="48" t="s">
        <v>379</v>
      </c>
      <c r="B220" s="48" t="s">
        <v>380</v>
      </c>
      <c r="C220" s="51"/>
      <c r="D220" s="51"/>
      <c r="E220" s="51"/>
      <c r="F220" s="51"/>
      <c r="G220" s="51"/>
      <c r="H220" s="5"/>
      <c r="K220" s="57"/>
      <c r="L220" s="57"/>
      <c r="M220" s="57"/>
      <c r="N220" s="57"/>
      <c r="O220" s="57"/>
      <c r="P220" s="57"/>
      <c r="Q220" s="57"/>
      <c r="R220" s="57"/>
    </row>
    <row r="221" spans="1:18" x14ac:dyDescent="0.25">
      <c r="A221" s="47" t="s">
        <v>381</v>
      </c>
      <c r="B221" s="47" t="s">
        <v>380</v>
      </c>
      <c r="H221" s="53">
        <f t="shared" ref="H221:H222" si="10">SUM(K221:R221)</f>
        <v>0</v>
      </c>
      <c r="K221" s="57">
        <f>'Fælles adm.'!H222</f>
        <v>0</v>
      </c>
      <c r="L221" s="57">
        <f>Odense!H222</f>
        <v>0</v>
      </c>
      <c r="M221" s="57">
        <f>Laks!H222</f>
        <v>0</v>
      </c>
      <c r="N221" s="57">
        <f>Assens!H222</f>
        <v>0</v>
      </c>
      <c r="O221" s="57">
        <f>Nyborg!H222</f>
        <v>0</v>
      </c>
      <c r="P221" s="57">
        <f>Nordfyn!H222</f>
        <v>0</v>
      </c>
      <c r="Q221" s="57">
        <f>Kerteminde!H222</f>
        <v>0</v>
      </c>
      <c r="R221" s="57">
        <f>'Særlige tilskud'!H222</f>
        <v>0</v>
      </c>
    </row>
    <row r="222" spans="1:18" x14ac:dyDescent="0.25">
      <c r="A222" s="48" t="s">
        <v>382</v>
      </c>
      <c r="B222" s="48" t="s">
        <v>383</v>
      </c>
      <c r="C222" s="51"/>
      <c r="D222" s="51"/>
      <c r="E222" s="51"/>
      <c r="F222" s="51"/>
      <c r="G222" s="51"/>
      <c r="H222" s="5">
        <f t="shared" si="10"/>
        <v>0</v>
      </c>
      <c r="K222" s="8">
        <f>'Fælles adm.'!H223</f>
        <v>0</v>
      </c>
      <c r="L222" s="8">
        <f>Odense!H223</f>
        <v>0</v>
      </c>
      <c r="M222" s="8">
        <f>Laks!H223</f>
        <v>0</v>
      </c>
      <c r="N222" s="8">
        <f>Assens!H223</f>
        <v>0</v>
      </c>
      <c r="O222" s="8">
        <f>Nyborg!H223</f>
        <v>0</v>
      </c>
      <c r="P222" s="8">
        <f>Nordfyn!H223</f>
        <v>0</v>
      </c>
      <c r="Q222" s="8">
        <f>Kerteminde!H223</f>
        <v>0</v>
      </c>
      <c r="R222" s="8">
        <f>'Særlige tilskud'!H223</f>
        <v>0</v>
      </c>
    </row>
    <row r="223" spans="1:18" x14ac:dyDescent="0.25">
      <c r="A223" s="47" t="s">
        <v>12</v>
      </c>
      <c r="B223" s="47" t="s">
        <v>12</v>
      </c>
      <c r="H223" s="53"/>
      <c r="K223" s="57"/>
      <c r="L223" s="57"/>
      <c r="M223" s="57"/>
      <c r="N223" s="57"/>
      <c r="O223" s="57"/>
      <c r="P223" s="57"/>
      <c r="Q223" s="57"/>
      <c r="R223" s="57"/>
    </row>
    <row r="224" spans="1:18" x14ac:dyDescent="0.25">
      <c r="A224" s="48" t="s">
        <v>384</v>
      </c>
      <c r="B224" s="48" t="s">
        <v>385</v>
      </c>
      <c r="C224" s="51"/>
      <c r="D224" s="51"/>
      <c r="E224" s="51"/>
      <c r="F224" s="51"/>
      <c r="G224" s="51"/>
      <c r="H224" s="5"/>
      <c r="K224" s="57"/>
      <c r="L224" s="57"/>
      <c r="M224" s="57"/>
      <c r="N224" s="57"/>
      <c r="O224" s="57"/>
      <c r="P224" s="57"/>
      <c r="Q224" s="57"/>
      <c r="R224" s="57"/>
    </row>
    <row r="225" spans="1:18" x14ac:dyDescent="0.25">
      <c r="A225" s="47" t="s">
        <v>386</v>
      </c>
      <c r="B225" s="47" t="s">
        <v>385</v>
      </c>
      <c r="H225" s="53">
        <f t="shared" ref="H225:H226" si="11">SUM(K225:R225)</f>
        <v>0</v>
      </c>
      <c r="K225" s="57">
        <f>'Fælles adm.'!H226</f>
        <v>0</v>
      </c>
      <c r="L225" s="57">
        <f>Odense!H226</f>
        <v>0</v>
      </c>
      <c r="M225" s="57">
        <f>Laks!H226</f>
        <v>0</v>
      </c>
      <c r="N225" s="57">
        <f>Assens!H226</f>
        <v>0</v>
      </c>
      <c r="O225" s="57">
        <f>Nyborg!H226</f>
        <v>0</v>
      </c>
      <c r="P225" s="57">
        <f>Nordfyn!H226</f>
        <v>0</v>
      </c>
      <c r="Q225" s="57">
        <f>Kerteminde!H226</f>
        <v>0</v>
      </c>
      <c r="R225" s="57">
        <f>'Særlige tilskud'!H226</f>
        <v>0</v>
      </c>
    </row>
    <row r="226" spans="1:18" x14ac:dyDescent="0.25">
      <c r="A226" s="48" t="s">
        <v>387</v>
      </c>
      <c r="B226" s="48" t="s">
        <v>388</v>
      </c>
      <c r="C226" s="51"/>
      <c r="D226" s="51"/>
      <c r="E226" s="51"/>
      <c r="F226" s="51"/>
      <c r="G226" s="51"/>
      <c r="H226" s="5">
        <f t="shared" si="11"/>
        <v>0</v>
      </c>
      <c r="K226" s="8">
        <f>'Fælles adm.'!H227</f>
        <v>0</v>
      </c>
      <c r="L226" s="8">
        <f>Odense!H227</f>
        <v>0</v>
      </c>
      <c r="M226" s="8">
        <f>Laks!H227</f>
        <v>0</v>
      </c>
      <c r="N226" s="8">
        <f>Assens!H227</f>
        <v>0</v>
      </c>
      <c r="O226" s="8">
        <f>Nyborg!H227</f>
        <v>0</v>
      </c>
      <c r="P226" s="8">
        <f>Nordfyn!H227</f>
        <v>0</v>
      </c>
      <c r="Q226" s="8">
        <f>Kerteminde!H227</f>
        <v>0</v>
      </c>
      <c r="R226" s="8">
        <f>'Særlige tilskud'!H227</f>
        <v>0</v>
      </c>
    </row>
    <row r="227" spans="1:18" x14ac:dyDescent="0.25">
      <c r="A227" s="47" t="s">
        <v>12</v>
      </c>
      <c r="B227" s="47" t="s">
        <v>12</v>
      </c>
      <c r="H227" s="53"/>
      <c r="K227" s="57"/>
      <c r="L227" s="57"/>
      <c r="M227" s="57"/>
      <c r="N227" s="57"/>
      <c r="O227" s="57"/>
      <c r="P227" s="57"/>
      <c r="Q227" s="57"/>
      <c r="R227" s="57"/>
    </row>
    <row r="228" spans="1:18" ht="15.75" thickBot="1" x14ac:dyDescent="0.3">
      <c r="A228" s="49" t="s">
        <v>389</v>
      </c>
      <c r="B228" s="49" t="s">
        <v>390</v>
      </c>
      <c r="C228" s="52">
        <v>8635017.6400000006</v>
      </c>
      <c r="D228" s="52">
        <v>-1120486.18</v>
      </c>
      <c r="E228" s="52">
        <v>870.65</v>
      </c>
      <c r="F228" s="52">
        <v>-770.65</v>
      </c>
      <c r="G228" s="52">
        <v>-9755503.8200000003</v>
      </c>
      <c r="H228" s="6">
        <f t="shared" ref="H228" si="12">SUM(K228:R228)</f>
        <v>-2851299.0100000016</v>
      </c>
      <c r="K228" s="9">
        <f>'Fælles adm.'!H229</f>
        <v>0</v>
      </c>
      <c r="L228" s="9">
        <f>Odense!H229</f>
        <v>-2464390.8192478716</v>
      </c>
      <c r="M228" s="9">
        <f>Laks!H229</f>
        <v>-279621.75999999978</v>
      </c>
      <c r="N228" s="9">
        <f>Assens!H229</f>
        <v>200000.31033120491</v>
      </c>
      <c r="O228" s="9">
        <f>Nyborg!H229</f>
        <v>-899647.92539786035</v>
      </c>
      <c r="P228" s="9">
        <f>Nordfyn!H229</f>
        <v>-1630282.3287868788</v>
      </c>
      <c r="Q228" s="9">
        <f>Kerteminde!H229</f>
        <v>-2491488.856898597</v>
      </c>
      <c r="R228" s="9">
        <f>'Særlige tilskud'!H229</f>
        <v>4714132.370000001</v>
      </c>
    </row>
    <row r="229" spans="1:18" ht="15.75" thickTop="1" x14ac:dyDescent="0.25">
      <c r="A229" s="47" t="s">
        <v>12</v>
      </c>
      <c r="B229" s="47" t="s">
        <v>12</v>
      </c>
      <c r="H229" s="53"/>
      <c r="K229" s="57"/>
      <c r="L229" s="57">
        <f>Odense!H230</f>
        <v>0</v>
      </c>
      <c r="M229" s="57"/>
      <c r="N229" s="57"/>
      <c r="O229" s="57"/>
      <c r="P229" s="57"/>
      <c r="Q229" s="57"/>
      <c r="R229" s="57"/>
    </row>
    <row r="230" spans="1:18" x14ac:dyDescent="0.25">
      <c r="A230" s="48" t="s">
        <v>391</v>
      </c>
      <c r="B230" s="48" t="s">
        <v>392</v>
      </c>
      <c r="C230" s="51"/>
      <c r="D230" s="51"/>
      <c r="E230" s="51"/>
      <c r="F230" s="51"/>
      <c r="G230" s="51"/>
      <c r="H230" s="5"/>
      <c r="K230" s="57"/>
      <c r="L230" s="57">
        <f>Odense!H231</f>
        <v>0</v>
      </c>
      <c r="M230" s="57"/>
      <c r="N230" s="57"/>
      <c r="O230" s="57"/>
      <c r="P230" s="57"/>
      <c r="Q230" s="57"/>
      <c r="R230" s="57"/>
    </row>
    <row r="231" spans="1:18" x14ac:dyDescent="0.25">
      <c r="A231" s="47" t="s">
        <v>393</v>
      </c>
      <c r="B231" s="47" t="s">
        <v>394</v>
      </c>
      <c r="H231" s="53">
        <f t="shared" ref="H231:H236" si="13">SUM(K231:R231)</f>
        <v>0</v>
      </c>
      <c r="K231" s="57">
        <f>'Fælles adm.'!H232</f>
        <v>0</v>
      </c>
      <c r="L231" s="57">
        <f>Odense!H232</f>
        <v>0</v>
      </c>
      <c r="M231" s="57">
        <f>Laks!H232</f>
        <v>0</v>
      </c>
      <c r="N231" s="57">
        <f>Assens!H232</f>
        <v>0</v>
      </c>
      <c r="O231" s="57">
        <f>Nyborg!H232</f>
        <v>0</v>
      </c>
      <c r="P231" s="57">
        <f>Nordfyn!H232</f>
        <v>0</v>
      </c>
      <c r="Q231" s="57">
        <f>Kerteminde!H232</f>
        <v>0</v>
      </c>
      <c r="R231" s="57">
        <f>'Særlige tilskud'!H232</f>
        <v>0</v>
      </c>
    </row>
    <row r="232" spans="1:18" x14ac:dyDescent="0.25">
      <c r="A232" s="47" t="s">
        <v>395</v>
      </c>
      <c r="B232" s="47" t="s">
        <v>396</v>
      </c>
      <c r="H232" s="53">
        <f t="shared" si="13"/>
        <v>0</v>
      </c>
      <c r="K232" s="57">
        <f>'Fælles adm.'!H233</f>
        <v>0</v>
      </c>
      <c r="L232" s="57">
        <f>Odense!H233</f>
        <v>0</v>
      </c>
      <c r="M232" s="57">
        <f>Laks!H233</f>
        <v>0</v>
      </c>
      <c r="N232" s="57">
        <f>Assens!H233</f>
        <v>0</v>
      </c>
      <c r="O232" s="57">
        <f>Nyborg!H233</f>
        <v>0</v>
      </c>
      <c r="P232" s="57">
        <f>Nordfyn!H233</f>
        <v>0</v>
      </c>
      <c r="Q232" s="57">
        <f>Kerteminde!H233</f>
        <v>0</v>
      </c>
      <c r="R232" s="57">
        <f>'Særlige tilskud'!H233</f>
        <v>0</v>
      </c>
    </row>
    <row r="233" spans="1:18" x14ac:dyDescent="0.25">
      <c r="A233" s="47" t="s">
        <v>397</v>
      </c>
      <c r="B233" s="47" t="s">
        <v>398</v>
      </c>
      <c r="H233" s="53">
        <f t="shared" si="13"/>
        <v>0</v>
      </c>
      <c r="K233" s="57">
        <f>'Fælles adm.'!H234</f>
        <v>0</v>
      </c>
      <c r="L233" s="57">
        <f>Odense!H234</f>
        <v>0</v>
      </c>
      <c r="M233" s="57">
        <f>Laks!H234</f>
        <v>0</v>
      </c>
      <c r="N233" s="57">
        <f>Assens!H234</f>
        <v>0</v>
      </c>
      <c r="O233" s="57">
        <f>Nyborg!H234</f>
        <v>0</v>
      </c>
      <c r="P233" s="57">
        <f>Nordfyn!H234</f>
        <v>0</v>
      </c>
      <c r="Q233" s="57">
        <f>Kerteminde!H234</f>
        <v>0</v>
      </c>
      <c r="R233" s="57">
        <f>'Særlige tilskud'!H234</f>
        <v>0</v>
      </c>
    </row>
    <row r="234" spans="1:18" x14ac:dyDescent="0.25">
      <c r="A234" s="48" t="s">
        <v>399</v>
      </c>
      <c r="B234" s="48" t="s">
        <v>400</v>
      </c>
      <c r="C234" s="51"/>
      <c r="D234" s="51"/>
      <c r="E234" s="51"/>
      <c r="F234" s="51"/>
      <c r="G234" s="51"/>
      <c r="H234" s="5">
        <f t="shared" si="13"/>
        <v>0</v>
      </c>
      <c r="K234" s="8">
        <f>'Fælles adm.'!H235</f>
        <v>0</v>
      </c>
      <c r="L234" s="8">
        <f>Odense!H235</f>
        <v>0</v>
      </c>
      <c r="M234" s="8">
        <f>Laks!H235</f>
        <v>0</v>
      </c>
      <c r="N234" s="8">
        <f>Assens!H235</f>
        <v>0</v>
      </c>
      <c r="O234" s="8">
        <f>Nyborg!H235</f>
        <v>0</v>
      </c>
      <c r="P234" s="8">
        <f>Nordfyn!H235</f>
        <v>0</v>
      </c>
      <c r="Q234" s="8">
        <f>Kerteminde!H235</f>
        <v>0</v>
      </c>
      <c r="R234" s="8">
        <f>'Særlige tilskud'!H235</f>
        <v>0</v>
      </c>
    </row>
    <row r="235" spans="1:18" x14ac:dyDescent="0.25">
      <c r="A235" s="47" t="s">
        <v>12</v>
      </c>
      <c r="B235" s="47" t="s">
        <v>12</v>
      </c>
      <c r="H235" s="53">
        <f t="shared" si="13"/>
        <v>0</v>
      </c>
      <c r="K235" s="57"/>
      <c r="L235" s="57"/>
      <c r="M235" s="57"/>
      <c r="N235" s="57"/>
      <c r="O235" s="57"/>
      <c r="P235" s="57"/>
      <c r="Q235" s="57"/>
      <c r="R235" s="57"/>
    </row>
    <row r="236" spans="1:18" ht="15.75" thickBot="1" x14ac:dyDescent="0.3">
      <c r="A236" s="49" t="s">
        <v>12</v>
      </c>
      <c r="B236" s="49" t="s">
        <v>46</v>
      </c>
      <c r="C236" s="52">
        <v>8635017.6400000006</v>
      </c>
      <c r="D236" s="52">
        <v>-1120486.18</v>
      </c>
      <c r="E236" s="52">
        <v>870.65</v>
      </c>
      <c r="F236" s="52">
        <v>-770.65</v>
      </c>
      <c r="G236" s="52">
        <v>-9755503.8200000003</v>
      </c>
      <c r="H236" s="6">
        <f t="shared" si="13"/>
        <v>-2851299.0100000016</v>
      </c>
      <c r="K236" s="9">
        <f>'Fælles adm.'!H237</f>
        <v>0</v>
      </c>
      <c r="L236" s="9">
        <f>Odense!H237</f>
        <v>-2464390.8192478716</v>
      </c>
      <c r="M236" s="9">
        <f>Laks!H237</f>
        <v>-279621.75999999978</v>
      </c>
      <c r="N236" s="9">
        <f>Assens!H237</f>
        <v>200000.31033120491</v>
      </c>
      <c r="O236" s="9">
        <f>Nyborg!H237</f>
        <v>-899647.92539786035</v>
      </c>
      <c r="P236" s="9">
        <f>Nordfyn!H237</f>
        <v>-1630282.3287868788</v>
      </c>
      <c r="Q236" s="9">
        <f>Kerteminde!H237</f>
        <v>-2491488.856898597</v>
      </c>
      <c r="R236" s="9">
        <f>'Særlige tilskud'!H237</f>
        <v>4714132.370000001</v>
      </c>
    </row>
    <row r="237" spans="1:18" ht="15.75" thickTop="1" x14ac:dyDescent="0.25">
      <c r="A237" s="47" t="s">
        <v>12</v>
      </c>
      <c r="B237" s="47" t="s">
        <v>12</v>
      </c>
      <c r="H237" s="53"/>
      <c r="K237" s="57"/>
      <c r="L237" s="57"/>
      <c r="M237" s="57"/>
      <c r="N237" s="57"/>
      <c r="O237" s="57"/>
      <c r="P237" s="57"/>
      <c r="Q237" s="57"/>
      <c r="R237" s="57"/>
    </row>
    <row r="238" spans="1:18" x14ac:dyDescent="0.25">
      <c r="A238" s="47" t="s">
        <v>401</v>
      </c>
      <c r="B238" s="47" t="s">
        <v>402</v>
      </c>
      <c r="H238" s="53">
        <f t="shared" ref="H238:H242" si="14">SUM(K238:R238)</f>
        <v>0</v>
      </c>
      <c r="K238" s="57">
        <f>'Fælles adm.'!H239</f>
        <v>0</v>
      </c>
      <c r="L238" s="57">
        <f>Odense!H239</f>
        <v>0</v>
      </c>
      <c r="M238" s="57">
        <f>Laks!H239</f>
        <v>0</v>
      </c>
      <c r="N238" s="57">
        <f>Assens!H239</f>
        <v>0</v>
      </c>
      <c r="O238" s="57">
        <f>Nyborg!H239</f>
        <v>0</v>
      </c>
      <c r="P238" s="57">
        <f>Nordfyn!H239</f>
        <v>0</v>
      </c>
      <c r="Q238" s="57">
        <f>Kerteminde!H239</f>
        <v>0</v>
      </c>
      <c r="R238" s="57">
        <f>'Særlige tilskud'!H239</f>
        <v>0</v>
      </c>
    </row>
    <row r="239" spans="1:18" x14ac:dyDescent="0.25">
      <c r="A239" s="47" t="s">
        <v>403</v>
      </c>
      <c r="B239" s="47" t="s">
        <v>404</v>
      </c>
      <c r="C239" s="50">
        <v>85929.24</v>
      </c>
      <c r="G239" s="50">
        <v>-85929.24</v>
      </c>
      <c r="H239" s="53">
        <f t="shared" si="14"/>
        <v>0</v>
      </c>
      <c r="K239" s="57">
        <f>'Fælles adm.'!H240</f>
        <v>0</v>
      </c>
      <c r="L239" s="57">
        <f>Odense!H240</f>
        <v>0</v>
      </c>
      <c r="M239" s="57">
        <f>Laks!H240</f>
        <v>0</v>
      </c>
      <c r="N239" s="57">
        <f>Assens!H240</f>
        <v>0</v>
      </c>
      <c r="O239" s="57">
        <f>Nyborg!H240</f>
        <v>0</v>
      </c>
      <c r="P239" s="57">
        <f>Nordfyn!H240</f>
        <v>0</v>
      </c>
      <c r="Q239" s="57">
        <f>Kerteminde!H240</f>
        <v>0</v>
      </c>
      <c r="R239" s="57">
        <f>'Særlige tilskud'!H240</f>
        <v>0</v>
      </c>
    </row>
    <row r="240" spans="1:18" x14ac:dyDescent="0.25">
      <c r="A240" s="47" t="s">
        <v>405</v>
      </c>
      <c r="B240" s="47" t="s">
        <v>406</v>
      </c>
      <c r="C240" s="50">
        <v>-1619347.55</v>
      </c>
      <c r="D240" s="50">
        <v>-3644077.35</v>
      </c>
      <c r="E240" s="50">
        <v>55.56</v>
      </c>
      <c r="F240" s="50">
        <v>44.44</v>
      </c>
      <c r="G240" s="50">
        <v>-2024729.8</v>
      </c>
      <c r="H240" s="53">
        <f t="shared" si="14"/>
        <v>-3146560.6999999997</v>
      </c>
      <c r="K240" s="57">
        <f>'Fælles adm.'!H241</f>
        <v>0</v>
      </c>
      <c r="L240" s="57">
        <f>Odense!H241</f>
        <v>-1219411.71</v>
      </c>
      <c r="M240" s="57">
        <f>Laks!H241</f>
        <v>-19547.330000000002</v>
      </c>
      <c r="N240" s="57">
        <f>Assens!H241</f>
        <v>-380594.32</v>
      </c>
      <c r="O240" s="57">
        <f>Nyborg!H241</f>
        <v>-142681.26999999999</v>
      </c>
      <c r="P240" s="57">
        <f>Nordfyn!H241</f>
        <v>-460093.5</v>
      </c>
      <c r="Q240" s="57">
        <f>Kerteminde!H241</f>
        <v>-924232.57</v>
      </c>
      <c r="R240" s="57">
        <f>'Særlige tilskud'!H241</f>
        <v>0</v>
      </c>
    </row>
    <row r="241" spans="1:18" x14ac:dyDescent="0.25">
      <c r="A241" s="47" t="s">
        <v>407</v>
      </c>
      <c r="B241" s="47" t="s">
        <v>408</v>
      </c>
      <c r="H241" s="53">
        <f t="shared" si="14"/>
        <v>0</v>
      </c>
      <c r="K241" s="57">
        <f>'Fælles adm.'!H242</f>
        <v>0</v>
      </c>
      <c r="L241" s="57">
        <f>Odense!H242</f>
        <v>0</v>
      </c>
      <c r="M241" s="57">
        <f>Laks!H242</f>
        <v>0</v>
      </c>
      <c r="N241" s="57">
        <f>Assens!H242</f>
        <v>0</v>
      </c>
      <c r="O241" s="57">
        <f>Nyborg!H242</f>
        <v>0</v>
      </c>
      <c r="P241" s="57">
        <f>Nordfyn!H242</f>
        <v>0</v>
      </c>
      <c r="Q241" s="57">
        <f>Kerteminde!H242</f>
        <v>0</v>
      </c>
      <c r="R241" s="57">
        <f>'Særlige tilskud'!H242</f>
        <v>0</v>
      </c>
    </row>
    <row r="242" spans="1:18" x14ac:dyDescent="0.25">
      <c r="A242" s="48" t="s">
        <v>409</v>
      </c>
      <c r="B242" s="48" t="s">
        <v>410</v>
      </c>
      <c r="C242" s="51">
        <v>-1533418.31</v>
      </c>
      <c r="D242" s="51">
        <v>-3644077.35</v>
      </c>
      <c r="E242" s="51">
        <v>57.92</v>
      </c>
      <c r="F242" s="51">
        <v>42.08</v>
      </c>
      <c r="G242" s="51">
        <v>-2110659.04</v>
      </c>
      <c r="H242" s="5">
        <f t="shared" si="14"/>
        <v>-3146560.6999999997</v>
      </c>
      <c r="K242" s="8">
        <f>'Fælles adm.'!H243</f>
        <v>0</v>
      </c>
      <c r="L242" s="8">
        <f>Odense!H243</f>
        <v>-1219411.71</v>
      </c>
      <c r="M242" s="8">
        <f>Laks!H243</f>
        <v>-19547.330000000002</v>
      </c>
      <c r="N242" s="8">
        <f>Assens!H243</f>
        <v>-380594.32</v>
      </c>
      <c r="O242" s="8">
        <f>Nyborg!H243</f>
        <v>-142681.26999999999</v>
      </c>
      <c r="P242" s="8">
        <f>Nordfyn!H243</f>
        <v>-460093.5</v>
      </c>
      <c r="Q242" s="8">
        <f>Kerteminde!H243</f>
        <v>-924232.57</v>
      </c>
      <c r="R242" s="8">
        <f>'Særlige tilskud'!H243</f>
        <v>0</v>
      </c>
    </row>
    <row r="243" spans="1:18" x14ac:dyDescent="0.25">
      <c r="A243" s="47" t="s">
        <v>12</v>
      </c>
      <c r="B243" s="47" t="s">
        <v>12</v>
      </c>
      <c r="H243" s="53"/>
      <c r="K243" s="57"/>
      <c r="L243" s="57"/>
      <c r="M243" s="57"/>
      <c r="N243" s="57"/>
      <c r="O243" s="57"/>
      <c r="P243" s="57"/>
      <c r="Q243" s="57"/>
      <c r="R243" s="57"/>
    </row>
    <row r="244" spans="1:18" ht="15.75" thickBot="1" x14ac:dyDescent="0.3">
      <c r="A244" s="49" t="s">
        <v>411</v>
      </c>
      <c r="B244" s="49" t="s">
        <v>49</v>
      </c>
      <c r="C244" s="52">
        <v>7101599.3300000001</v>
      </c>
      <c r="D244" s="52">
        <v>-4764563.53</v>
      </c>
      <c r="E244" s="52">
        <v>249.05</v>
      </c>
      <c r="F244" s="52">
        <v>-149.05000000000001</v>
      </c>
      <c r="G244" s="52">
        <v>-11866162.859999999</v>
      </c>
      <c r="H244" s="6">
        <f t="shared" ref="H244" si="15">SUM(K244:R244)</f>
        <v>-5997859.7100000009</v>
      </c>
      <c r="K244" s="9">
        <f>'Fælles adm.'!H245</f>
        <v>0</v>
      </c>
      <c r="L244" s="9">
        <f>Odense!H245</f>
        <v>-3683802.5292478716</v>
      </c>
      <c r="M244" s="9">
        <f>Laks!H245</f>
        <v>-299169.08999999979</v>
      </c>
      <c r="N244" s="9">
        <f>Assens!H245</f>
        <v>-180594.0096687951</v>
      </c>
      <c r="O244" s="9">
        <f>Nyborg!H245</f>
        <v>-1042329.1953978604</v>
      </c>
      <c r="P244" s="9">
        <f>Nordfyn!H245</f>
        <v>-2090375.8287868788</v>
      </c>
      <c r="Q244" s="9">
        <f>Kerteminde!H245</f>
        <v>-3415721.4268985968</v>
      </c>
      <c r="R244" s="9">
        <f>'Særlige tilskud'!H245</f>
        <v>4714132.370000001</v>
      </c>
    </row>
    <row r="245" spans="1:18" ht="15.75" thickTop="1" x14ac:dyDescent="0.25">
      <c r="H245" s="53"/>
      <c r="K245" s="57"/>
      <c r="L245" s="57"/>
      <c r="M245" s="57"/>
      <c r="N245" s="57"/>
      <c r="O245" s="57"/>
      <c r="P245" s="57"/>
      <c r="Q245" s="57"/>
      <c r="R245" s="5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18A33-7C89-450E-8049-44EF3BB40F6C}">
  <dimension ref="A1:L245"/>
  <sheetViews>
    <sheetView workbookViewId="0">
      <selection activeCell="H7" sqref="H7:H244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8" width="14.28515625" style="50" bestFit="1" customWidth="1"/>
    <col min="9" max="9" width="2.7109375" customWidth="1"/>
    <col min="10" max="10" width="14.28515625" style="50" bestFit="1" customWidth="1"/>
    <col min="11" max="11" width="2.7109375" customWidth="1"/>
    <col min="12" max="12" width="14.28515625" style="50" bestFit="1" customWidth="1"/>
  </cols>
  <sheetData>
    <row r="1" spans="1:12" x14ac:dyDescent="0.25">
      <c r="A1" t="s">
        <v>0</v>
      </c>
    </row>
    <row r="2" spans="1:12" x14ac:dyDescent="0.25">
      <c r="A2" t="s">
        <v>1</v>
      </c>
      <c r="B2" t="s">
        <v>2</v>
      </c>
    </row>
    <row r="3" spans="1:12" x14ac:dyDescent="0.25">
      <c r="A3" t="s">
        <v>3</v>
      </c>
      <c r="B3" t="s">
        <v>4</v>
      </c>
    </row>
    <row r="5" spans="1:12" x14ac:dyDescent="0.25">
      <c r="A5" t="s">
        <v>5</v>
      </c>
      <c r="B5" t="s">
        <v>6</v>
      </c>
    </row>
    <row r="7" spans="1:12" x14ac:dyDescent="0.25">
      <c r="C7" s="50" t="s">
        <v>7</v>
      </c>
      <c r="D7" s="50" t="s">
        <v>8</v>
      </c>
      <c r="E7" s="50" t="s">
        <v>9</v>
      </c>
      <c r="F7" s="50" t="s">
        <v>10</v>
      </c>
      <c r="G7" s="50" t="s">
        <v>11</v>
      </c>
      <c r="H7" s="83" t="s">
        <v>428</v>
      </c>
      <c r="J7" s="86" t="s">
        <v>428</v>
      </c>
      <c r="L7" s="50" t="s">
        <v>439</v>
      </c>
    </row>
    <row r="8" spans="1:12" x14ac:dyDescent="0.25">
      <c r="A8" t="s">
        <v>12</v>
      </c>
      <c r="B8" t="s">
        <v>13</v>
      </c>
      <c r="C8" s="51"/>
      <c r="D8" s="51"/>
      <c r="E8" s="51"/>
      <c r="F8" s="51"/>
      <c r="G8" s="51"/>
      <c r="H8" s="84"/>
      <c r="J8" s="87" t="s">
        <v>477</v>
      </c>
      <c r="L8" s="51"/>
    </row>
    <row r="9" spans="1:12" x14ac:dyDescent="0.25">
      <c r="A9" t="s">
        <v>12</v>
      </c>
      <c r="B9" t="s">
        <v>12</v>
      </c>
      <c r="H9" s="83"/>
      <c r="J9" s="86"/>
    </row>
    <row r="10" spans="1:12" x14ac:dyDescent="0.25">
      <c r="A10" t="s">
        <v>14</v>
      </c>
      <c r="B10" t="s">
        <v>15</v>
      </c>
      <c r="C10" s="50">
        <v>46576460.770000003</v>
      </c>
      <c r="D10" s="50">
        <v>90947976.510000005</v>
      </c>
      <c r="E10" s="50">
        <v>48.79</v>
      </c>
      <c r="F10" s="50">
        <v>51.21</v>
      </c>
      <c r="G10" s="50">
        <v>44371515.740000002</v>
      </c>
      <c r="H10" s="83">
        <v>79521201.560000002</v>
      </c>
      <c r="J10" s="86">
        <v>86817783.65393135</v>
      </c>
      <c r="L10" s="50">
        <f>H10-J10</f>
        <v>-7296582.0939313471</v>
      </c>
    </row>
    <row r="11" spans="1:12" x14ac:dyDescent="0.25">
      <c r="A11" t="s">
        <v>16</v>
      </c>
      <c r="B11" t="s">
        <v>17</v>
      </c>
      <c r="C11" s="50">
        <v>3310489.05</v>
      </c>
      <c r="D11" s="50">
        <v>5639295.6699999999</v>
      </c>
      <c r="E11" s="50">
        <v>41.3</v>
      </c>
      <c r="F11" s="50">
        <v>58.7</v>
      </c>
      <c r="G11" s="50">
        <v>2328806.62</v>
      </c>
      <c r="H11" s="83">
        <v>5844287.0500000007</v>
      </c>
      <c r="J11" s="86">
        <v>5659690.2500000009</v>
      </c>
      <c r="L11" s="50">
        <f>H11-J11</f>
        <v>184596.79999999981</v>
      </c>
    </row>
    <row r="12" spans="1:12" x14ac:dyDescent="0.25">
      <c r="A12" t="s">
        <v>18</v>
      </c>
      <c r="B12" t="s">
        <v>19</v>
      </c>
      <c r="C12" s="50">
        <v>362884.2</v>
      </c>
      <c r="G12" s="50">
        <v>-362884.2</v>
      </c>
      <c r="H12" s="83">
        <v>698365.85000000009</v>
      </c>
      <c r="J12" s="86">
        <v>1151502.1000000001</v>
      </c>
      <c r="L12" s="50">
        <f>H12-J12</f>
        <v>-453136.25</v>
      </c>
    </row>
    <row r="13" spans="1:12" x14ac:dyDescent="0.25">
      <c r="A13" t="s">
        <v>20</v>
      </c>
      <c r="B13" t="s">
        <v>21</v>
      </c>
      <c r="C13" s="51">
        <v>50249834.020000003</v>
      </c>
      <c r="D13" s="51">
        <v>96587272.180000007</v>
      </c>
      <c r="E13" s="51">
        <v>47.97</v>
      </c>
      <c r="F13" s="51">
        <v>52.03</v>
      </c>
      <c r="G13" s="51">
        <v>46337438.159999996</v>
      </c>
      <c r="H13" s="84">
        <v>86063854.460000008</v>
      </c>
      <c r="J13" s="87">
        <v>93628976.003931344</v>
      </c>
      <c r="L13" s="51">
        <f>H13-J13</f>
        <v>-7565121.5439313352</v>
      </c>
    </row>
    <row r="14" spans="1:12" x14ac:dyDescent="0.25">
      <c r="A14" t="s">
        <v>12</v>
      </c>
      <c r="B14" t="s">
        <v>12</v>
      </c>
      <c r="H14" s="83"/>
      <c r="J14" s="86"/>
    </row>
    <row r="15" spans="1:12" x14ac:dyDescent="0.25">
      <c r="A15" t="s">
        <v>12</v>
      </c>
      <c r="B15" t="s">
        <v>22</v>
      </c>
      <c r="C15" s="51"/>
      <c r="D15" s="51"/>
      <c r="E15" s="51"/>
      <c r="F15" s="51"/>
      <c r="G15" s="51"/>
      <c r="H15" s="84"/>
      <c r="J15" s="87"/>
      <c r="L15" s="51"/>
    </row>
    <row r="16" spans="1:12" x14ac:dyDescent="0.25">
      <c r="A16" t="s">
        <v>23</v>
      </c>
      <c r="B16" t="s">
        <v>24</v>
      </c>
      <c r="H16" s="83">
        <v>0</v>
      </c>
      <c r="J16" s="86">
        <v>0</v>
      </c>
      <c r="L16" s="50">
        <f>H16-J16</f>
        <v>0</v>
      </c>
    </row>
    <row r="17" spans="1:12" x14ac:dyDescent="0.25">
      <c r="A17" t="s">
        <v>25</v>
      </c>
      <c r="B17" t="s">
        <v>26</v>
      </c>
      <c r="C17" s="50">
        <v>-459230.14</v>
      </c>
      <c r="D17" s="50">
        <v>-1051606</v>
      </c>
      <c r="E17" s="50">
        <v>56.33</v>
      </c>
      <c r="F17" s="50">
        <v>43.67</v>
      </c>
      <c r="G17" s="50">
        <v>-592375.86</v>
      </c>
      <c r="H17" s="83">
        <v>-862265.81</v>
      </c>
      <c r="J17" s="86">
        <v>-1128683.06</v>
      </c>
      <c r="L17" s="50">
        <f>H17-J17</f>
        <v>266417.25</v>
      </c>
    </row>
    <row r="18" spans="1:12" x14ac:dyDescent="0.25">
      <c r="A18" t="s">
        <v>27</v>
      </c>
      <c r="B18" t="s">
        <v>28</v>
      </c>
      <c r="H18" s="83"/>
      <c r="J18" s="86"/>
    </row>
    <row r="19" spans="1:12" x14ac:dyDescent="0.25">
      <c r="A19" t="s">
        <v>12</v>
      </c>
      <c r="B19" t="s">
        <v>12</v>
      </c>
      <c r="H19" s="83"/>
      <c r="J19" s="86"/>
    </row>
    <row r="20" spans="1:12" x14ac:dyDescent="0.25">
      <c r="A20" t="s">
        <v>29</v>
      </c>
      <c r="B20" t="s">
        <v>30</v>
      </c>
      <c r="C20" s="50">
        <v>-33063795.859999999</v>
      </c>
      <c r="D20" s="50">
        <v>-66770111.689999998</v>
      </c>
      <c r="E20" s="50">
        <v>50.48</v>
      </c>
      <c r="F20" s="50">
        <v>49.52</v>
      </c>
      <c r="G20" s="50">
        <v>-33706315.829999998</v>
      </c>
      <c r="H20" s="83">
        <v>-60585770.510000005</v>
      </c>
      <c r="J20" s="86">
        <v>-63254412.579999998</v>
      </c>
      <c r="L20" s="50">
        <f>H20-J20</f>
        <v>2668642.0699999928</v>
      </c>
    </row>
    <row r="21" spans="1:12" x14ac:dyDescent="0.25">
      <c r="A21" t="s">
        <v>31</v>
      </c>
      <c r="B21" t="s">
        <v>32</v>
      </c>
      <c r="C21" s="51">
        <v>-33523026</v>
      </c>
      <c r="D21" s="51">
        <v>-67821717.689999998</v>
      </c>
      <c r="E21" s="51">
        <v>50.57</v>
      </c>
      <c r="F21" s="51">
        <v>49.43</v>
      </c>
      <c r="G21" s="51">
        <v>-34298691.689999998</v>
      </c>
      <c r="H21" s="84">
        <v>-60585770.510000005</v>
      </c>
      <c r="J21" s="87">
        <v>-63254412.579999998</v>
      </c>
      <c r="L21" s="51">
        <f>H21-J21</f>
        <v>2668642.0699999928</v>
      </c>
    </row>
    <row r="22" spans="1:12" x14ac:dyDescent="0.25">
      <c r="A22" t="s">
        <v>12</v>
      </c>
      <c r="B22" t="s">
        <v>12</v>
      </c>
      <c r="H22" s="83"/>
      <c r="J22" s="86"/>
    </row>
    <row r="23" spans="1:12" x14ac:dyDescent="0.25">
      <c r="A23" t="s">
        <v>33</v>
      </c>
      <c r="B23" t="s">
        <v>34</v>
      </c>
      <c r="C23" s="50">
        <v>1186063.17</v>
      </c>
      <c r="D23" s="50">
        <v>813348.36</v>
      </c>
      <c r="E23" s="50">
        <v>-45.82</v>
      </c>
      <c r="F23" s="50">
        <v>145.82</v>
      </c>
      <c r="G23" s="50">
        <v>-372714.81</v>
      </c>
      <c r="H23" s="83">
        <v>1698661.9</v>
      </c>
      <c r="J23" s="86">
        <v>713923.00999999989</v>
      </c>
      <c r="L23" s="50">
        <f t="shared" ref="L23:L28" si="0">H23-J23</f>
        <v>984738.89</v>
      </c>
    </row>
    <row r="24" spans="1:12" x14ac:dyDescent="0.25">
      <c r="A24" t="s">
        <v>35</v>
      </c>
      <c r="B24" t="s">
        <v>36</v>
      </c>
      <c r="C24" s="50">
        <v>-9145002.5</v>
      </c>
      <c r="D24" s="50">
        <v>-30277905.449999999</v>
      </c>
      <c r="E24" s="50">
        <v>69.8</v>
      </c>
      <c r="F24" s="50">
        <v>30.2</v>
      </c>
      <c r="G24" s="50">
        <v>-21132902.949999999</v>
      </c>
      <c r="H24" s="83">
        <v>-28864549.32</v>
      </c>
      <c r="J24" s="86">
        <v>-29898461.93</v>
      </c>
      <c r="L24" s="50">
        <f t="shared" si="0"/>
        <v>1033912.6099999994</v>
      </c>
    </row>
    <row r="25" spans="1:12" x14ac:dyDescent="0.25">
      <c r="A25" t="s">
        <v>37</v>
      </c>
      <c r="B25" t="s">
        <v>38</v>
      </c>
      <c r="C25" s="50">
        <v>-1246.72</v>
      </c>
      <c r="D25" s="50">
        <v>42000</v>
      </c>
      <c r="E25" s="50">
        <v>102.97</v>
      </c>
      <c r="F25" s="50">
        <v>-2.97</v>
      </c>
      <c r="G25" s="50">
        <v>43246.720000000001</v>
      </c>
      <c r="H25" s="83">
        <v>-246.72000000000003</v>
      </c>
      <c r="J25" s="86">
        <v>1230.07</v>
      </c>
      <c r="L25" s="50">
        <f t="shared" si="0"/>
        <v>-1476.79</v>
      </c>
    </row>
    <row r="26" spans="1:12" x14ac:dyDescent="0.25">
      <c r="A26" t="s">
        <v>39</v>
      </c>
      <c r="B26" t="s">
        <v>40</v>
      </c>
      <c r="C26" s="50">
        <v>-131604.32999999999</v>
      </c>
      <c r="D26" s="50">
        <v>-463483.58</v>
      </c>
      <c r="E26" s="50">
        <v>71.61</v>
      </c>
      <c r="F26" s="50">
        <v>28.39</v>
      </c>
      <c r="G26" s="50">
        <v>-331879.25</v>
      </c>
      <c r="H26" s="83">
        <v>-300983.01</v>
      </c>
      <c r="J26" s="86">
        <v>-305247.66000000003</v>
      </c>
      <c r="L26" s="50">
        <f t="shared" si="0"/>
        <v>4264.6500000000233</v>
      </c>
    </row>
    <row r="27" spans="1:12" x14ac:dyDescent="0.25">
      <c r="A27" t="s">
        <v>41</v>
      </c>
      <c r="B27" t="s">
        <v>42</v>
      </c>
      <c r="H27" s="83"/>
      <c r="J27" s="86">
        <v>0</v>
      </c>
      <c r="L27" s="50">
        <f t="shared" si="0"/>
        <v>0</v>
      </c>
    </row>
    <row r="28" spans="1:12" x14ac:dyDescent="0.25">
      <c r="A28" t="s">
        <v>43</v>
      </c>
      <c r="B28" t="s">
        <v>44</v>
      </c>
      <c r="H28" s="83"/>
      <c r="J28" s="86">
        <v>0</v>
      </c>
      <c r="L28" s="50">
        <f t="shared" si="0"/>
        <v>0</v>
      </c>
    </row>
    <row r="29" spans="1:12" x14ac:dyDescent="0.25">
      <c r="A29" t="s">
        <v>12</v>
      </c>
      <c r="B29" t="s">
        <v>12</v>
      </c>
      <c r="H29" s="83"/>
      <c r="J29" s="86"/>
    </row>
    <row r="30" spans="1:12" ht="15.75" thickBot="1" x14ac:dyDescent="0.3">
      <c r="A30" t="s">
        <v>45</v>
      </c>
      <c r="B30" t="s">
        <v>46</v>
      </c>
      <c r="C30" s="52">
        <v>8635017.6400000006</v>
      </c>
      <c r="D30" s="52">
        <v>-1120486.18</v>
      </c>
      <c r="E30" s="52">
        <v>870.65</v>
      </c>
      <c r="F30" s="52">
        <v>-770.65</v>
      </c>
      <c r="G30" s="52">
        <v>-9755503.8200000003</v>
      </c>
      <c r="H30" s="85">
        <v>-2851299.0100000035</v>
      </c>
      <c r="J30" s="88">
        <v>-242676.14606866613</v>
      </c>
      <c r="L30" s="52">
        <f>H30-J30</f>
        <v>-2608622.8639313374</v>
      </c>
    </row>
    <row r="31" spans="1:12" ht="15.75" thickTop="1" x14ac:dyDescent="0.25">
      <c r="A31" t="s">
        <v>12</v>
      </c>
      <c r="B31" t="s">
        <v>12</v>
      </c>
      <c r="H31" s="83"/>
      <c r="J31" s="86"/>
    </row>
    <row r="32" spans="1:12" x14ac:dyDescent="0.25">
      <c r="A32" t="s">
        <v>47</v>
      </c>
      <c r="B32" t="s">
        <v>48</v>
      </c>
      <c r="C32" s="50">
        <v>-1533418.31</v>
      </c>
      <c r="D32" s="50">
        <v>-3644077.35</v>
      </c>
      <c r="E32" s="50">
        <v>57.92</v>
      </c>
      <c r="F32" s="50">
        <v>42.08</v>
      </c>
      <c r="G32" s="50">
        <v>-2110659.04</v>
      </c>
      <c r="H32" s="83">
        <v>-3146560.6999999997</v>
      </c>
      <c r="J32" s="86">
        <v>-3107462.06</v>
      </c>
      <c r="L32" s="50">
        <f>H32-J32</f>
        <v>-39098.639999999665</v>
      </c>
    </row>
    <row r="33" spans="1:12" x14ac:dyDescent="0.25">
      <c r="A33" t="s">
        <v>12</v>
      </c>
      <c r="B33" t="s">
        <v>12</v>
      </c>
      <c r="H33" s="83"/>
      <c r="J33" s="86"/>
    </row>
    <row r="34" spans="1:12" ht="15.75" thickBot="1" x14ac:dyDescent="0.3">
      <c r="A34" t="s">
        <v>12</v>
      </c>
      <c r="B34" t="s">
        <v>49</v>
      </c>
      <c r="C34" s="52">
        <v>7101599.3300000001</v>
      </c>
      <c r="D34" s="52">
        <v>-4764563.53</v>
      </c>
      <c r="E34" s="52">
        <v>249.05</v>
      </c>
      <c r="F34" s="52">
        <v>-149.05000000000001</v>
      </c>
      <c r="G34" s="52">
        <v>-11866162.859999999</v>
      </c>
      <c r="H34" s="85">
        <v>-5997859.7100000028</v>
      </c>
      <c r="J34" s="88">
        <v>-3350138.2060686685</v>
      </c>
      <c r="L34" s="52">
        <f>H34-J34</f>
        <v>-2647721.5039313342</v>
      </c>
    </row>
    <row r="35" spans="1:12" ht="15.75" thickTop="1" x14ac:dyDescent="0.25">
      <c r="A35" t="s">
        <v>12</v>
      </c>
      <c r="B35" t="s">
        <v>12</v>
      </c>
      <c r="H35" s="83"/>
      <c r="J35" s="86"/>
    </row>
    <row r="36" spans="1:12" x14ac:dyDescent="0.25">
      <c r="A36" t="s">
        <v>12</v>
      </c>
      <c r="B36" t="s">
        <v>50</v>
      </c>
      <c r="C36" s="51"/>
      <c r="D36" s="51"/>
      <c r="E36" s="51"/>
      <c r="F36" s="51"/>
      <c r="G36" s="51"/>
      <c r="H36" s="84">
        <v>0</v>
      </c>
      <c r="J36" s="87">
        <v>-7.4505805969238281E-9</v>
      </c>
      <c r="L36" s="51">
        <v>-7.4505805969238281E-9</v>
      </c>
    </row>
    <row r="37" spans="1:12" x14ac:dyDescent="0.25">
      <c r="C37" s="51"/>
      <c r="D37" s="51"/>
      <c r="E37" s="51"/>
      <c r="F37" s="51"/>
      <c r="G37" s="51"/>
      <c r="H37" s="84"/>
      <c r="I37" s="45"/>
      <c r="J37" s="87"/>
      <c r="L37" s="51"/>
    </row>
    <row r="38" spans="1:12" x14ac:dyDescent="0.25">
      <c r="A38" t="s">
        <v>51</v>
      </c>
      <c r="B38" t="s">
        <v>52</v>
      </c>
      <c r="C38" s="51"/>
      <c r="D38" s="51"/>
      <c r="E38" s="51"/>
      <c r="F38" s="51"/>
      <c r="G38" s="51"/>
      <c r="H38" s="84"/>
      <c r="J38" s="87"/>
      <c r="L38" s="51"/>
    </row>
    <row r="39" spans="1:12" x14ac:dyDescent="0.25">
      <c r="A39" t="s">
        <v>53</v>
      </c>
      <c r="B39" t="s">
        <v>54</v>
      </c>
      <c r="C39" s="50">
        <v>28865159.129999999</v>
      </c>
      <c r="D39" s="50">
        <v>64739024.600000001</v>
      </c>
      <c r="E39" s="50">
        <v>55.41</v>
      </c>
      <c r="F39" s="50">
        <v>44.59</v>
      </c>
      <c r="G39" s="50">
        <v>35873865.469999999</v>
      </c>
      <c r="H39" s="83">
        <v>55873421.189999998</v>
      </c>
      <c r="J39" s="86">
        <v>64475245.587244488</v>
      </c>
      <c r="L39" s="50">
        <f t="shared" ref="L39:L45" si="1">H39-J39</f>
        <v>-8601824.3972444907</v>
      </c>
    </row>
    <row r="40" spans="1:12" x14ac:dyDescent="0.25">
      <c r="A40" t="s">
        <v>55</v>
      </c>
      <c r="B40" t="s">
        <v>56</v>
      </c>
      <c r="C40" s="50">
        <v>60595.199999999997</v>
      </c>
      <c r="D40" s="50">
        <v>3691120</v>
      </c>
      <c r="E40" s="50">
        <v>98.36</v>
      </c>
      <c r="F40" s="50">
        <v>1.64</v>
      </c>
      <c r="G40" s="50">
        <v>3630524.8</v>
      </c>
      <c r="H40" s="83">
        <v>1300000</v>
      </c>
      <c r="J40" s="86">
        <v>0</v>
      </c>
      <c r="L40" s="50">
        <f t="shared" si="1"/>
        <v>1300000</v>
      </c>
    </row>
    <row r="41" spans="1:12" x14ac:dyDescent="0.25">
      <c r="A41" t="s">
        <v>57</v>
      </c>
      <c r="B41" t="s">
        <v>58</v>
      </c>
      <c r="C41" s="50">
        <v>107318.33</v>
      </c>
      <c r="G41" s="50">
        <v>-107318.33</v>
      </c>
      <c r="H41" s="83">
        <v>0</v>
      </c>
      <c r="J41" s="86">
        <v>0</v>
      </c>
      <c r="L41" s="50">
        <f t="shared" si="1"/>
        <v>0</v>
      </c>
    </row>
    <row r="42" spans="1:12" x14ac:dyDescent="0.25">
      <c r="A42" t="s">
        <v>59</v>
      </c>
      <c r="B42" t="s">
        <v>60</v>
      </c>
      <c r="C42" s="50">
        <v>9595.9500000000007</v>
      </c>
      <c r="D42" s="50">
        <v>87235.91</v>
      </c>
      <c r="E42" s="50">
        <v>89</v>
      </c>
      <c r="F42" s="50">
        <v>11</v>
      </c>
      <c r="G42" s="50">
        <v>77639.960000000006</v>
      </c>
      <c r="H42" s="83">
        <v>0</v>
      </c>
      <c r="J42" s="86">
        <v>0</v>
      </c>
      <c r="L42" s="50">
        <f t="shared" si="1"/>
        <v>0</v>
      </c>
    </row>
    <row r="43" spans="1:12" x14ac:dyDescent="0.25">
      <c r="A43" t="s">
        <v>61</v>
      </c>
      <c r="B43" t="s">
        <v>62</v>
      </c>
      <c r="C43" s="50">
        <v>5516975</v>
      </c>
      <c r="D43" s="50">
        <v>11033950</v>
      </c>
      <c r="E43" s="50">
        <v>50</v>
      </c>
      <c r="F43" s="50">
        <v>50</v>
      </c>
      <c r="G43" s="50">
        <v>5516975</v>
      </c>
      <c r="H43" s="83">
        <v>11033950</v>
      </c>
      <c r="J43" s="86">
        <v>11033950</v>
      </c>
      <c r="L43" s="50">
        <f t="shared" si="1"/>
        <v>0</v>
      </c>
    </row>
    <row r="44" spans="1:12" x14ac:dyDescent="0.25">
      <c r="A44" t="s">
        <v>63</v>
      </c>
      <c r="B44" t="s">
        <v>64</v>
      </c>
      <c r="C44" s="50">
        <v>12016817.16</v>
      </c>
      <c r="D44" s="50">
        <v>11396646</v>
      </c>
      <c r="E44" s="50">
        <v>-5.44</v>
      </c>
      <c r="F44" s="50">
        <v>105.44</v>
      </c>
      <c r="G44" s="50">
        <v>-620171.16</v>
      </c>
      <c r="H44" s="83">
        <v>10612902.510000002</v>
      </c>
      <c r="J44" s="86">
        <v>11313830.370000001</v>
      </c>
      <c r="L44" s="50">
        <f t="shared" si="1"/>
        <v>-700927.8599999994</v>
      </c>
    </row>
    <row r="45" spans="1:12" x14ac:dyDescent="0.25">
      <c r="A45" t="s">
        <v>65</v>
      </c>
      <c r="B45" t="s">
        <v>66</v>
      </c>
      <c r="C45" s="51">
        <v>46576460.770000003</v>
      </c>
      <c r="D45" s="51">
        <v>90947976.510000005</v>
      </c>
      <c r="E45" s="51">
        <v>48.79</v>
      </c>
      <c r="F45" s="51">
        <v>51.21</v>
      </c>
      <c r="G45" s="51">
        <v>44371515.740000002</v>
      </c>
      <c r="H45" s="84">
        <v>79521201.560000002</v>
      </c>
      <c r="J45" s="87">
        <v>86817783.65393135</v>
      </c>
      <c r="L45" s="51">
        <f t="shared" si="1"/>
        <v>-7296582.0939313471</v>
      </c>
    </row>
    <row r="46" spans="1:12" x14ac:dyDescent="0.25">
      <c r="A46" t="s">
        <v>12</v>
      </c>
      <c r="B46" t="s">
        <v>12</v>
      </c>
      <c r="H46" s="83"/>
      <c r="J46" s="86"/>
    </row>
    <row r="47" spans="1:12" x14ac:dyDescent="0.25">
      <c r="A47" t="s">
        <v>67</v>
      </c>
      <c r="B47" t="s">
        <v>68</v>
      </c>
      <c r="C47" s="51"/>
      <c r="D47" s="51"/>
      <c r="E47" s="51"/>
      <c r="F47" s="51"/>
      <c r="G47" s="51"/>
      <c r="H47" s="84"/>
      <c r="J47" s="87"/>
      <c r="L47" s="51"/>
    </row>
    <row r="48" spans="1:12" x14ac:dyDescent="0.25">
      <c r="A48" t="s">
        <v>69</v>
      </c>
      <c r="B48" t="s">
        <v>70</v>
      </c>
      <c r="H48" s="83"/>
      <c r="J48" s="86">
        <v>0</v>
      </c>
      <c r="L48" s="50">
        <f t="shared" ref="L48:L58" si="2">H48-J48</f>
        <v>0</v>
      </c>
    </row>
    <row r="49" spans="1:12" x14ac:dyDescent="0.25">
      <c r="A49" t="s">
        <v>71</v>
      </c>
      <c r="B49" t="s">
        <v>72</v>
      </c>
      <c r="C49" s="50">
        <v>115226.65</v>
      </c>
      <c r="G49" s="50">
        <v>-115226.65</v>
      </c>
      <c r="H49" s="83">
        <v>162512.65</v>
      </c>
      <c r="J49" s="86">
        <v>115226.64999999998</v>
      </c>
      <c r="L49" s="50">
        <f t="shared" si="2"/>
        <v>47286.000000000015</v>
      </c>
    </row>
    <row r="50" spans="1:12" x14ac:dyDescent="0.25">
      <c r="A50" t="s">
        <v>73</v>
      </c>
      <c r="B50" t="s">
        <v>74</v>
      </c>
      <c r="D50" s="50">
        <v>301747</v>
      </c>
      <c r="E50" s="50">
        <v>100</v>
      </c>
      <c r="G50" s="50">
        <v>301747</v>
      </c>
      <c r="H50" s="83">
        <v>0</v>
      </c>
      <c r="J50" s="86">
        <v>0</v>
      </c>
      <c r="L50" s="50">
        <f t="shared" si="2"/>
        <v>0</v>
      </c>
    </row>
    <row r="51" spans="1:12" x14ac:dyDescent="0.25">
      <c r="A51" t="s">
        <v>75</v>
      </c>
      <c r="B51" t="s">
        <v>76</v>
      </c>
      <c r="C51" s="50">
        <v>151069.5</v>
      </c>
      <c r="G51" s="50">
        <v>-151069.5</v>
      </c>
      <c r="H51" s="83">
        <v>151069.5</v>
      </c>
      <c r="J51" s="86">
        <v>29687.5</v>
      </c>
      <c r="L51" s="50">
        <f t="shared" si="2"/>
        <v>121382</v>
      </c>
    </row>
    <row r="52" spans="1:12" x14ac:dyDescent="0.25">
      <c r="A52" t="s">
        <v>77</v>
      </c>
      <c r="B52" t="s">
        <v>78</v>
      </c>
      <c r="C52" s="50">
        <v>4800</v>
      </c>
      <c r="D52" s="50">
        <v>26000</v>
      </c>
      <c r="E52" s="50">
        <v>81.540000000000006</v>
      </c>
      <c r="F52" s="50">
        <v>18.46</v>
      </c>
      <c r="G52" s="50">
        <v>21200</v>
      </c>
      <c r="H52" s="83">
        <v>26000</v>
      </c>
      <c r="J52" s="86">
        <v>26000</v>
      </c>
      <c r="L52" s="50">
        <f t="shared" si="2"/>
        <v>0</v>
      </c>
    </row>
    <row r="53" spans="1:12" x14ac:dyDescent="0.25">
      <c r="A53" t="s">
        <v>79</v>
      </c>
      <c r="B53" t="s">
        <v>80</v>
      </c>
      <c r="C53" s="50">
        <v>13500</v>
      </c>
      <c r="G53" s="50">
        <v>-13500</v>
      </c>
      <c r="H53" s="83">
        <v>13500</v>
      </c>
      <c r="J53" s="86">
        <v>0</v>
      </c>
      <c r="L53" s="50">
        <f t="shared" si="2"/>
        <v>13500</v>
      </c>
    </row>
    <row r="54" spans="1:12" x14ac:dyDescent="0.25">
      <c r="A54" t="s">
        <v>81</v>
      </c>
      <c r="B54" t="s">
        <v>82</v>
      </c>
      <c r="C54" s="50">
        <v>2966638.5</v>
      </c>
      <c r="D54" s="50">
        <v>3277907.67</v>
      </c>
      <c r="E54" s="50">
        <v>9.5</v>
      </c>
      <c r="F54" s="50">
        <v>90.5</v>
      </c>
      <c r="G54" s="50">
        <v>311269.17</v>
      </c>
      <c r="H54" s="83">
        <v>3292659.8</v>
      </c>
      <c r="J54" s="86">
        <v>3292031</v>
      </c>
      <c r="L54" s="50">
        <f t="shared" si="2"/>
        <v>628.79999999981374</v>
      </c>
    </row>
    <row r="55" spans="1:12" x14ac:dyDescent="0.25">
      <c r="A55" t="s">
        <v>83</v>
      </c>
      <c r="B55" t="s">
        <v>84</v>
      </c>
      <c r="C55" s="50">
        <v>43400.3</v>
      </c>
      <c r="D55" s="50">
        <v>1520321</v>
      </c>
      <c r="E55" s="50">
        <v>97.15</v>
      </c>
      <c r="F55" s="50">
        <v>2.85</v>
      </c>
      <c r="G55" s="50">
        <v>1476920.7</v>
      </c>
      <c r="H55" s="83">
        <v>1523921</v>
      </c>
      <c r="J55" s="86">
        <v>1522121</v>
      </c>
      <c r="L55" s="50">
        <f t="shared" si="2"/>
        <v>1800</v>
      </c>
    </row>
    <row r="56" spans="1:12" x14ac:dyDescent="0.25">
      <c r="A56" t="s">
        <v>85</v>
      </c>
      <c r="B56" t="s">
        <v>86</v>
      </c>
      <c r="C56" s="50">
        <v>6600</v>
      </c>
      <c r="G56" s="50">
        <v>-6600</v>
      </c>
      <c r="H56" s="83">
        <v>6850</v>
      </c>
      <c r="J56" s="86">
        <v>6850</v>
      </c>
      <c r="L56" s="50">
        <f t="shared" si="2"/>
        <v>0</v>
      </c>
    </row>
    <row r="57" spans="1:12" x14ac:dyDescent="0.25">
      <c r="A57" t="s">
        <v>87</v>
      </c>
      <c r="B57" t="s">
        <v>88</v>
      </c>
      <c r="C57" s="50">
        <v>9254.1</v>
      </c>
      <c r="D57" s="50">
        <v>513320</v>
      </c>
      <c r="E57" s="50">
        <v>98.2</v>
      </c>
      <c r="F57" s="50">
        <v>1.8</v>
      </c>
      <c r="G57" s="50">
        <v>504065.9</v>
      </c>
      <c r="H57" s="83">
        <v>667774.1</v>
      </c>
      <c r="J57" s="86">
        <v>667774.1</v>
      </c>
      <c r="L57" s="50">
        <f t="shared" si="2"/>
        <v>0</v>
      </c>
    </row>
    <row r="58" spans="1:12" x14ac:dyDescent="0.25">
      <c r="A58" t="s">
        <v>89</v>
      </c>
      <c r="B58" t="s">
        <v>17</v>
      </c>
      <c r="C58" s="51">
        <v>3310489.05</v>
      </c>
      <c r="D58" s="51">
        <v>5639295.6699999999</v>
      </c>
      <c r="E58" s="51">
        <v>41.3</v>
      </c>
      <c r="F58" s="51">
        <v>58.7</v>
      </c>
      <c r="G58" s="51">
        <v>2328806.62</v>
      </c>
      <c r="H58" s="84">
        <v>5844287.0500000007</v>
      </c>
      <c r="J58" s="87">
        <v>5659690.2500000009</v>
      </c>
      <c r="L58" s="51">
        <f t="shared" si="2"/>
        <v>184596.79999999981</v>
      </c>
    </row>
    <row r="59" spans="1:12" x14ac:dyDescent="0.25">
      <c r="A59" t="s">
        <v>12</v>
      </c>
      <c r="B59" t="s">
        <v>12</v>
      </c>
      <c r="H59" s="83"/>
      <c r="J59" s="86"/>
    </row>
    <row r="60" spans="1:12" x14ac:dyDescent="0.25">
      <c r="A60" t="s">
        <v>90</v>
      </c>
      <c r="B60" t="s">
        <v>91</v>
      </c>
      <c r="C60" s="51"/>
      <c r="D60" s="51"/>
      <c r="E60" s="51"/>
      <c r="F60" s="51"/>
      <c r="G60" s="51"/>
      <c r="H60" s="84"/>
      <c r="J60" s="87"/>
      <c r="L60" s="51"/>
    </row>
    <row r="61" spans="1:12" x14ac:dyDescent="0.25">
      <c r="A61" t="s">
        <v>92</v>
      </c>
      <c r="B61" t="s">
        <v>93</v>
      </c>
      <c r="C61" s="50">
        <v>362884.2</v>
      </c>
      <c r="G61" s="50">
        <v>-362884.2</v>
      </c>
      <c r="H61" s="83">
        <v>698365.85000000009</v>
      </c>
      <c r="J61" s="86">
        <v>1146857.6000000001</v>
      </c>
      <c r="L61" s="50">
        <f t="shared" ref="L61:L62" si="3">H61-J61</f>
        <v>-448491.75</v>
      </c>
    </row>
    <row r="62" spans="1:12" x14ac:dyDescent="0.25">
      <c r="A62" t="s">
        <v>94</v>
      </c>
      <c r="B62" t="s">
        <v>95</v>
      </c>
      <c r="C62" s="51">
        <v>362884.2</v>
      </c>
      <c r="D62" s="51"/>
      <c r="E62" s="51"/>
      <c r="F62" s="51"/>
      <c r="G62" s="51">
        <v>-362884.2</v>
      </c>
      <c r="H62" s="84">
        <v>698365.85000000009</v>
      </c>
      <c r="J62" s="87">
        <v>1151502.1000000001</v>
      </c>
      <c r="L62" s="51">
        <f t="shared" si="3"/>
        <v>-453136.25</v>
      </c>
    </row>
    <row r="63" spans="1:12" x14ac:dyDescent="0.25">
      <c r="A63" t="s">
        <v>12</v>
      </c>
      <c r="B63" t="s">
        <v>12</v>
      </c>
      <c r="H63" s="83"/>
      <c r="J63" s="86"/>
    </row>
    <row r="64" spans="1:12" x14ac:dyDescent="0.25">
      <c r="A64" t="s">
        <v>96</v>
      </c>
      <c r="B64" t="s">
        <v>97</v>
      </c>
      <c r="C64" s="51">
        <v>50249834.020000003</v>
      </c>
      <c r="D64" s="51">
        <v>96587272.180000007</v>
      </c>
      <c r="E64" s="51">
        <v>47.97</v>
      </c>
      <c r="F64" s="51">
        <v>52.03</v>
      </c>
      <c r="G64" s="51">
        <v>46337438.159999996</v>
      </c>
      <c r="H64" s="84">
        <v>86063854.460000008</v>
      </c>
      <c r="J64" s="87">
        <v>93628976.003931344</v>
      </c>
      <c r="L64" s="51">
        <f>H64-J64</f>
        <v>-7565121.5439313352</v>
      </c>
    </row>
    <row r="65" spans="1:12" x14ac:dyDescent="0.25">
      <c r="A65" t="s">
        <v>12</v>
      </c>
      <c r="B65" t="s">
        <v>12</v>
      </c>
      <c r="H65" s="83"/>
      <c r="J65" s="86"/>
    </row>
    <row r="66" spans="1:12" x14ac:dyDescent="0.25">
      <c r="A66" t="s">
        <v>98</v>
      </c>
      <c r="B66" t="s">
        <v>99</v>
      </c>
      <c r="C66" s="51"/>
      <c r="D66" s="51"/>
      <c r="E66" s="51"/>
      <c r="F66" s="51"/>
      <c r="G66" s="51"/>
      <c r="H66" s="84"/>
      <c r="J66" s="87"/>
      <c r="L66" s="51"/>
    </row>
    <row r="67" spans="1:12" x14ac:dyDescent="0.25">
      <c r="A67" t="s">
        <v>100</v>
      </c>
      <c r="B67" t="s">
        <v>101</v>
      </c>
      <c r="H67" s="83">
        <v>0</v>
      </c>
      <c r="J67" s="86">
        <v>0</v>
      </c>
      <c r="L67" s="50">
        <f t="shared" ref="L67:L69" si="4">H67-J67</f>
        <v>0</v>
      </c>
    </row>
    <row r="68" spans="1:12" x14ac:dyDescent="0.25">
      <c r="A68" t="s">
        <v>102</v>
      </c>
      <c r="B68" t="s">
        <v>103</v>
      </c>
      <c r="H68" s="83">
        <v>0</v>
      </c>
      <c r="J68" s="86">
        <v>0</v>
      </c>
      <c r="L68" s="50">
        <f t="shared" si="4"/>
        <v>0</v>
      </c>
    </row>
    <row r="69" spans="1:12" x14ac:dyDescent="0.25">
      <c r="A69" t="s">
        <v>104</v>
      </c>
      <c r="B69" t="s">
        <v>105</v>
      </c>
      <c r="C69" s="51"/>
      <c r="D69" s="51"/>
      <c r="E69" s="51"/>
      <c r="F69" s="51"/>
      <c r="G69" s="51"/>
      <c r="H69" s="84">
        <v>0</v>
      </c>
      <c r="J69" s="87">
        <v>0</v>
      </c>
      <c r="L69" s="51">
        <f t="shared" si="4"/>
        <v>0</v>
      </c>
    </row>
    <row r="70" spans="1:12" x14ac:dyDescent="0.25">
      <c r="A70" t="s">
        <v>12</v>
      </c>
      <c r="B70" t="s">
        <v>12</v>
      </c>
      <c r="H70" s="83"/>
      <c r="J70" s="86"/>
    </row>
    <row r="71" spans="1:12" x14ac:dyDescent="0.25">
      <c r="A71" t="s">
        <v>106</v>
      </c>
      <c r="B71" t="s">
        <v>107</v>
      </c>
      <c r="C71" s="51"/>
      <c r="D71" s="51"/>
      <c r="E71" s="51"/>
      <c r="F71" s="51"/>
      <c r="G71" s="51"/>
      <c r="H71" s="84"/>
      <c r="J71" s="87"/>
      <c r="L71" s="51"/>
    </row>
    <row r="72" spans="1:12" x14ac:dyDescent="0.25">
      <c r="A72" t="s">
        <v>108</v>
      </c>
      <c r="B72" t="s">
        <v>109</v>
      </c>
      <c r="C72" s="50">
        <v>-67991</v>
      </c>
      <c r="D72" s="50">
        <v>-518200</v>
      </c>
      <c r="E72" s="50">
        <v>86.88</v>
      </c>
      <c r="F72" s="50">
        <v>13.12</v>
      </c>
      <c r="G72" s="50">
        <v>-450209</v>
      </c>
      <c r="H72" s="83">
        <v>-140000</v>
      </c>
      <c r="J72" s="86">
        <v>-518200</v>
      </c>
      <c r="L72" s="50">
        <f t="shared" ref="L72:L76" si="5">H72-J72</f>
        <v>378200</v>
      </c>
    </row>
    <row r="73" spans="1:12" x14ac:dyDescent="0.25">
      <c r="A73" t="s">
        <v>110</v>
      </c>
      <c r="B73" t="s">
        <v>111</v>
      </c>
      <c r="C73" s="50">
        <v>-22937.919999999998</v>
      </c>
      <c r="G73" s="50">
        <v>22937.919999999998</v>
      </c>
      <c r="H73" s="83">
        <v>-22937.919999999998</v>
      </c>
      <c r="J73" s="86">
        <v>-22937.919999999998</v>
      </c>
      <c r="L73" s="50">
        <f t="shared" si="5"/>
        <v>0</v>
      </c>
    </row>
    <row r="74" spans="1:12" x14ac:dyDescent="0.25">
      <c r="A74" t="s">
        <v>112</v>
      </c>
      <c r="B74" t="s">
        <v>113</v>
      </c>
      <c r="C74" s="50">
        <v>-32724</v>
      </c>
      <c r="D74" s="50">
        <v>-37660</v>
      </c>
      <c r="E74" s="50">
        <v>13.11</v>
      </c>
      <c r="F74" s="50">
        <v>86.89</v>
      </c>
      <c r="G74" s="50">
        <v>-4936</v>
      </c>
      <c r="H74" s="83">
        <v>-51554</v>
      </c>
      <c r="J74" s="86">
        <v>-47373</v>
      </c>
      <c r="L74" s="50">
        <f t="shared" si="5"/>
        <v>-4181</v>
      </c>
    </row>
    <row r="75" spans="1:12" x14ac:dyDescent="0.25">
      <c r="A75" t="s">
        <v>114</v>
      </c>
      <c r="B75" t="s">
        <v>115</v>
      </c>
      <c r="C75" s="50">
        <v>-335577.22</v>
      </c>
      <c r="D75" s="50">
        <v>-495746</v>
      </c>
      <c r="E75" s="50">
        <v>32.31</v>
      </c>
      <c r="F75" s="50">
        <v>67.69</v>
      </c>
      <c r="G75" s="50">
        <v>-160168.78</v>
      </c>
      <c r="H75" s="83">
        <v>-647773.89</v>
      </c>
      <c r="J75" s="86">
        <v>-540172.14</v>
      </c>
      <c r="L75" s="50">
        <f t="shared" si="5"/>
        <v>-107601.75</v>
      </c>
    </row>
    <row r="76" spans="1:12" x14ac:dyDescent="0.25">
      <c r="A76" t="s">
        <v>116</v>
      </c>
      <c r="B76" t="s">
        <v>117</v>
      </c>
      <c r="C76" s="51">
        <v>-459230.14</v>
      </c>
      <c r="D76" s="51">
        <v>-1051606</v>
      </c>
      <c r="E76" s="51">
        <v>56.33</v>
      </c>
      <c r="F76" s="51">
        <v>43.67</v>
      </c>
      <c r="G76" s="51">
        <v>-592375.86</v>
      </c>
      <c r="H76" s="84">
        <v>-862265.81</v>
      </c>
      <c r="J76" s="87">
        <v>-1128683.06</v>
      </c>
      <c r="L76" s="51">
        <f t="shared" si="5"/>
        <v>266417.25</v>
      </c>
    </row>
    <row r="77" spans="1:12" x14ac:dyDescent="0.25">
      <c r="A77" t="s">
        <v>12</v>
      </c>
      <c r="B77" t="s">
        <v>12</v>
      </c>
      <c r="H77" s="83"/>
      <c r="J77" s="86"/>
    </row>
    <row r="78" spans="1:12" x14ac:dyDescent="0.25">
      <c r="A78" t="s">
        <v>118</v>
      </c>
      <c r="B78" t="s">
        <v>119</v>
      </c>
      <c r="C78" s="51"/>
      <c r="D78" s="51"/>
      <c r="E78" s="51"/>
      <c r="F78" s="51"/>
      <c r="G78" s="51"/>
      <c r="H78" s="84"/>
      <c r="J78" s="87"/>
      <c r="L78" s="51"/>
    </row>
    <row r="79" spans="1:12" x14ac:dyDescent="0.25">
      <c r="A79" t="s">
        <v>120</v>
      </c>
      <c r="B79" t="s">
        <v>121</v>
      </c>
      <c r="H79" s="83">
        <v>0</v>
      </c>
      <c r="J79" s="86">
        <v>0</v>
      </c>
      <c r="L79" s="50">
        <f t="shared" ref="L79:L81" si="6">H79-J79</f>
        <v>0</v>
      </c>
    </row>
    <row r="80" spans="1:12" x14ac:dyDescent="0.25">
      <c r="A80" t="s">
        <v>122</v>
      </c>
      <c r="B80" t="s">
        <v>123</v>
      </c>
      <c r="H80" s="83">
        <v>0</v>
      </c>
      <c r="J80" s="86">
        <v>0</v>
      </c>
      <c r="L80" s="50">
        <f t="shared" si="6"/>
        <v>0</v>
      </c>
    </row>
    <row r="81" spans="1:12" x14ac:dyDescent="0.25">
      <c r="A81" t="s">
        <v>124</v>
      </c>
      <c r="B81" t="s">
        <v>125</v>
      </c>
      <c r="C81" s="51"/>
      <c r="D81" s="51"/>
      <c r="E81" s="51"/>
      <c r="F81" s="51"/>
      <c r="G81" s="51"/>
      <c r="H81" s="84">
        <v>0</v>
      </c>
      <c r="J81" s="87">
        <v>0</v>
      </c>
      <c r="L81" s="51">
        <f t="shared" si="6"/>
        <v>0</v>
      </c>
    </row>
    <row r="82" spans="1:12" x14ac:dyDescent="0.25">
      <c r="A82" t="s">
        <v>12</v>
      </c>
      <c r="B82" t="s">
        <v>12</v>
      </c>
      <c r="H82" s="83"/>
      <c r="J82" s="86"/>
    </row>
    <row r="83" spans="1:12" x14ac:dyDescent="0.25">
      <c r="A83" t="s">
        <v>126</v>
      </c>
      <c r="B83" t="s">
        <v>30</v>
      </c>
      <c r="C83" s="51"/>
      <c r="D83" s="51"/>
      <c r="E83" s="51"/>
      <c r="F83" s="51"/>
      <c r="G83" s="51"/>
      <c r="H83" s="84"/>
      <c r="J83" s="87"/>
      <c r="L83" s="51"/>
    </row>
    <row r="84" spans="1:12" x14ac:dyDescent="0.25">
      <c r="A84" t="s">
        <v>127</v>
      </c>
      <c r="B84" t="s">
        <v>128</v>
      </c>
      <c r="H84" s="83">
        <v>0</v>
      </c>
      <c r="J84" s="86">
        <v>0</v>
      </c>
      <c r="L84" s="50">
        <f t="shared" ref="L84:L106" si="7">H84-J84</f>
        <v>0</v>
      </c>
    </row>
    <row r="85" spans="1:12" x14ac:dyDescent="0.25">
      <c r="A85" t="s">
        <v>129</v>
      </c>
      <c r="B85" t="s">
        <v>130</v>
      </c>
      <c r="C85" s="50">
        <v>-447361.2</v>
      </c>
      <c r="D85" s="50">
        <v>-1042434.9</v>
      </c>
      <c r="E85" s="50">
        <v>57.08</v>
      </c>
      <c r="F85" s="50">
        <v>42.92</v>
      </c>
      <c r="G85" s="50">
        <v>-595073.69999999995</v>
      </c>
      <c r="H85" s="83">
        <v>-894722.4</v>
      </c>
      <c r="J85" s="86">
        <v>-919180.80000000005</v>
      </c>
      <c r="L85" s="50">
        <f t="shared" si="7"/>
        <v>24458.400000000023</v>
      </c>
    </row>
    <row r="86" spans="1:12" x14ac:dyDescent="0.25">
      <c r="A86" t="s">
        <v>131</v>
      </c>
      <c r="B86" t="s">
        <v>132</v>
      </c>
      <c r="H86" s="83">
        <v>0</v>
      </c>
      <c r="J86" s="86">
        <v>0</v>
      </c>
      <c r="L86" s="50">
        <f t="shared" si="7"/>
        <v>0</v>
      </c>
    </row>
    <row r="87" spans="1:12" x14ac:dyDescent="0.25">
      <c r="A87" t="s">
        <v>133</v>
      </c>
      <c r="B87" t="s">
        <v>134</v>
      </c>
      <c r="C87" s="50">
        <v>-25043.32</v>
      </c>
      <c r="G87" s="50">
        <v>25043.32</v>
      </c>
      <c r="H87" s="83">
        <v>-25043.32</v>
      </c>
      <c r="J87" s="86">
        <v>-25043.32</v>
      </c>
      <c r="L87" s="50">
        <f t="shared" si="7"/>
        <v>0</v>
      </c>
    </row>
    <row r="88" spans="1:12" x14ac:dyDescent="0.25">
      <c r="A88" t="s">
        <v>135</v>
      </c>
      <c r="B88" t="s">
        <v>136</v>
      </c>
      <c r="C88" s="50">
        <v>25043.32</v>
      </c>
      <c r="G88" s="50">
        <v>-25043.32</v>
      </c>
      <c r="H88" s="83">
        <v>25043.32</v>
      </c>
      <c r="J88" s="86">
        <v>25043.32</v>
      </c>
      <c r="L88" s="50">
        <f t="shared" si="7"/>
        <v>0</v>
      </c>
    </row>
    <row r="89" spans="1:12" x14ac:dyDescent="0.25">
      <c r="A89" t="s">
        <v>137</v>
      </c>
      <c r="B89" t="s">
        <v>138</v>
      </c>
      <c r="C89" s="50">
        <v>-32752461.84</v>
      </c>
      <c r="D89" s="50">
        <v>-58924213.310000002</v>
      </c>
      <c r="E89" s="50">
        <v>44.42</v>
      </c>
      <c r="F89" s="50">
        <v>55.58</v>
      </c>
      <c r="G89" s="50">
        <v>-26171751.469999999</v>
      </c>
      <c r="H89" s="83">
        <v>-56845269.530000001</v>
      </c>
      <c r="J89" s="86">
        <v>-59129226.380000003</v>
      </c>
      <c r="L89" s="50">
        <f t="shared" si="7"/>
        <v>2283956.8500000015</v>
      </c>
    </row>
    <row r="90" spans="1:12" x14ac:dyDescent="0.25">
      <c r="A90" t="s">
        <v>139</v>
      </c>
      <c r="B90" t="s">
        <v>140</v>
      </c>
      <c r="H90" s="83">
        <v>0</v>
      </c>
      <c r="J90" s="86">
        <v>0</v>
      </c>
      <c r="L90" s="50">
        <f t="shared" si="7"/>
        <v>0</v>
      </c>
    </row>
    <row r="91" spans="1:12" x14ac:dyDescent="0.25">
      <c r="A91" t="s">
        <v>141</v>
      </c>
      <c r="B91" t="s">
        <v>142</v>
      </c>
      <c r="H91" s="83">
        <v>0</v>
      </c>
      <c r="J91" s="86">
        <v>0</v>
      </c>
      <c r="L91" s="50">
        <f t="shared" si="7"/>
        <v>0</v>
      </c>
    </row>
    <row r="92" spans="1:12" x14ac:dyDescent="0.25">
      <c r="A92" t="s">
        <v>143</v>
      </c>
      <c r="B92" t="s">
        <v>144</v>
      </c>
      <c r="H92" s="83">
        <v>0</v>
      </c>
      <c r="J92" s="86">
        <v>0</v>
      </c>
      <c r="L92" s="50">
        <f t="shared" si="7"/>
        <v>0</v>
      </c>
    </row>
    <row r="93" spans="1:12" x14ac:dyDescent="0.25">
      <c r="A93" t="s">
        <v>145</v>
      </c>
      <c r="B93" t="s">
        <v>146</v>
      </c>
      <c r="C93" s="50">
        <v>448.84</v>
      </c>
      <c r="G93" s="50">
        <v>-448.84</v>
      </c>
      <c r="H93" s="83">
        <v>-219551.15999999997</v>
      </c>
      <c r="J93" s="86">
        <v>-207551.15999999997</v>
      </c>
      <c r="L93" s="50">
        <f t="shared" si="7"/>
        <v>-12000</v>
      </c>
    </row>
    <row r="94" spans="1:12" x14ac:dyDescent="0.25">
      <c r="A94" t="s">
        <v>147</v>
      </c>
      <c r="B94" t="s">
        <v>148</v>
      </c>
      <c r="C94" s="50">
        <v>-154694.1</v>
      </c>
      <c r="G94" s="50">
        <v>154694.1</v>
      </c>
      <c r="H94" s="83">
        <v>-154694.1</v>
      </c>
      <c r="J94" s="86">
        <v>-336981.98000000004</v>
      </c>
      <c r="L94" s="50">
        <f t="shared" si="7"/>
        <v>182287.88000000003</v>
      </c>
    </row>
    <row r="95" spans="1:12" x14ac:dyDescent="0.25">
      <c r="A95" t="s">
        <v>149</v>
      </c>
      <c r="B95" t="s">
        <v>150</v>
      </c>
      <c r="H95" s="83">
        <v>0</v>
      </c>
      <c r="J95" s="86">
        <v>0</v>
      </c>
      <c r="L95" s="50">
        <f t="shared" si="7"/>
        <v>0</v>
      </c>
    </row>
    <row r="96" spans="1:12" x14ac:dyDescent="0.25">
      <c r="A96" t="s">
        <v>151</v>
      </c>
      <c r="B96" t="s">
        <v>152</v>
      </c>
      <c r="H96" s="83">
        <v>0</v>
      </c>
      <c r="J96" s="86">
        <v>0</v>
      </c>
      <c r="L96" s="50">
        <f t="shared" si="7"/>
        <v>0</v>
      </c>
    </row>
    <row r="97" spans="1:12" x14ac:dyDescent="0.25">
      <c r="A97" t="s">
        <v>153</v>
      </c>
      <c r="B97" t="s">
        <v>154</v>
      </c>
      <c r="H97" s="83">
        <v>0</v>
      </c>
      <c r="J97" s="86">
        <v>0</v>
      </c>
      <c r="L97" s="50">
        <f t="shared" si="7"/>
        <v>0</v>
      </c>
    </row>
    <row r="98" spans="1:12" x14ac:dyDescent="0.25">
      <c r="A98" t="s">
        <v>155</v>
      </c>
      <c r="B98" t="s">
        <v>156</v>
      </c>
      <c r="H98" s="83">
        <v>0</v>
      </c>
      <c r="J98" s="86">
        <v>0</v>
      </c>
      <c r="L98" s="50">
        <f t="shared" si="7"/>
        <v>0</v>
      </c>
    </row>
    <row r="99" spans="1:12" x14ac:dyDescent="0.25">
      <c r="A99" t="s">
        <v>157</v>
      </c>
      <c r="B99" t="s">
        <v>158</v>
      </c>
      <c r="H99" s="83">
        <v>0</v>
      </c>
      <c r="J99" s="86">
        <v>0</v>
      </c>
      <c r="L99" s="50">
        <f t="shared" si="7"/>
        <v>0</v>
      </c>
    </row>
    <row r="100" spans="1:12" x14ac:dyDescent="0.25">
      <c r="A100" t="s">
        <v>159</v>
      </c>
      <c r="B100" t="s">
        <v>160</v>
      </c>
      <c r="H100" s="83">
        <v>0</v>
      </c>
      <c r="J100" s="86">
        <v>0</v>
      </c>
      <c r="L100" s="50">
        <f t="shared" si="7"/>
        <v>0</v>
      </c>
    </row>
    <row r="101" spans="1:12" x14ac:dyDescent="0.25">
      <c r="A101" t="s">
        <v>161</v>
      </c>
      <c r="B101" t="s">
        <v>162</v>
      </c>
      <c r="H101" s="83">
        <v>0</v>
      </c>
      <c r="J101" s="86">
        <v>0</v>
      </c>
      <c r="L101" s="50">
        <f t="shared" si="7"/>
        <v>0</v>
      </c>
    </row>
    <row r="102" spans="1:12" x14ac:dyDescent="0.25">
      <c r="A102" t="s">
        <v>163</v>
      </c>
      <c r="B102" t="s">
        <v>164</v>
      </c>
      <c r="C102" s="50">
        <v>-71400</v>
      </c>
      <c r="D102" s="50">
        <v>-26873.33</v>
      </c>
      <c r="E102" s="50">
        <v>-165.69</v>
      </c>
      <c r="F102" s="50">
        <v>265.69</v>
      </c>
      <c r="G102" s="50">
        <v>44526.67</v>
      </c>
      <c r="H102" s="83">
        <v>-142800</v>
      </c>
      <c r="J102" s="86">
        <v>-142800</v>
      </c>
      <c r="L102" s="50">
        <f t="shared" si="7"/>
        <v>0</v>
      </c>
    </row>
    <row r="103" spans="1:12" x14ac:dyDescent="0.25">
      <c r="A103" t="s">
        <v>165</v>
      </c>
      <c r="B103" t="s">
        <v>166</v>
      </c>
      <c r="H103" s="83">
        <v>0</v>
      </c>
      <c r="J103" s="86">
        <v>0</v>
      </c>
      <c r="L103" s="50">
        <f t="shared" si="7"/>
        <v>0</v>
      </c>
    </row>
    <row r="104" spans="1:12" x14ac:dyDescent="0.25">
      <c r="A104" t="s">
        <v>167</v>
      </c>
      <c r="B104" t="s">
        <v>168</v>
      </c>
      <c r="H104" s="83">
        <v>0</v>
      </c>
      <c r="J104" s="86">
        <v>0</v>
      </c>
      <c r="L104" s="50">
        <f t="shared" si="7"/>
        <v>0</v>
      </c>
    </row>
    <row r="105" spans="1:12" x14ac:dyDescent="0.25">
      <c r="A105" t="s">
        <v>169</v>
      </c>
      <c r="B105" t="s">
        <v>170</v>
      </c>
      <c r="C105" s="50">
        <v>802300.14</v>
      </c>
      <c r="G105" s="50">
        <v>-802300.14</v>
      </c>
      <c r="H105" s="83">
        <v>802300.14</v>
      </c>
      <c r="J105" s="86">
        <v>802300.1399999999</v>
      </c>
      <c r="L105" s="50">
        <f t="shared" si="7"/>
        <v>0</v>
      </c>
    </row>
    <row r="106" spans="1:12" x14ac:dyDescent="0.25">
      <c r="A106" t="s">
        <v>171</v>
      </c>
      <c r="B106" t="s">
        <v>172</v>
      </c>
      <c r="C106" s="51">
        <v>-32623168.16</v>
      </c>
      <c r="D106" s="51">
        <v>-59993521.539999999</v>
      </c>
      <c r="E106" s="51">
        <v>45.62</v>
      </c>
      <c r="F106" s="51">
        <v>54.38</v>
      </c>
      <c r="G106" s="51">
        <v>-27370353.379999999</v>
      </c>
      <c r="H106" s="84">
        <v>-57454737.050000004</v>
      </c>
      <c r="J106" s="87">
        <v>-59933440.180000007</v>
      </c>
      <c r="L106" s="51">
        <f t="shared" si="7"/>
        <v>2478703.1300000027</v>
      </c>
    </row>
    <row r="107" spans="1:12" x14ac:dyDescent="0.25">
      <c r="A107" t="s">
        <v>12</v>
      </c>
      <c r="B107" t="s">
        <v>12</v>
      </c>
      <c r="H107" s="83"/>
      <c r="J107" s="86"/>
    </row>
    <row r="108" spans="1:12" x14ac:dyDescent="0.25">
      <c r="A108" t="s">
        <v>173</v>
      </c>
      <c r="B108" t="s">
        <v>174</v>
      </c>
      <c r="C108" s="51"/>
      <c r="D108" s="51"/>
      <c r="E108" s="51"/>
      <c r="F108" s="51"/>
      <c r="G108" s="51"/>
      <c r="H108" s="84"/>
      <c r="J108" s="87"/>
      <c r="L108" s="51"/>
    </row>
    <row r="109" spans="1:12" x14ac:dyDescent="0.25">
      <c r="A109" t="s">
        <v>175</v>
      </c>
      <c r="B109" t="s">
        <v>174</v>
      </c>
      <c r="C109" s="50">
        <v>-5419886.8300000001</v>
      </c>
      <c r="D109" s="50">
        <v>-11851711.15</v>
      </c>
      <c r="E109" s="50">
        <v>54.27</v>
      </c>
      <c r="F109" s="50">
        <v>45.73</v>
      </c>
      <c r="G109" s="50">
        <v>-6431824.3200000003</v>
      </c>
      <c r="H109" s="83">
        <v>-11743873.509999998</v>
      </c>
      <c r="J109" s="86">
        <v>-11935089.939999999</v>
      </c>
      <c r="L109" s="50">
        <f t="shared" ref="L109:L111" si="8">H109-J109</f>
        <v>191216.43000000156</v>
      </c>
    </row>
    <row r="110" spans="1:12" x14ac:dyDescent="0.25">
      <c r="A110" t="s">
        <v>176</v>
      </c>
      <c r="B110" t="s">
        <v>177</v>
      </c>
      <c r="H110" s="83">
        <v>0</v>
      </c>
      <c r="J110" s="86">
        <v>0</v>
      </c>
      <c r="L110" s="50">
        <f t="shared" si="8"/>
        <v>0</v>
      </c>
    </row>
    <row r="111" spans="1:12" x14ac:dyDescent="0.25">
      <c r="A111" t="s">
        <v>178</v>
      </c>
      <c r="B111" t="s">
        <v>179</v>
      </c>
      <c r="C111" s="51">
        <v>-5419886.8300000001</v>
      </c>
      <c r="D111" s="51">
        <v>-11851711.15</v>
      </c>
      <c r="E111" s="51">
        <v>54.27</v>
      </c>
      <c r="F111" s="51">
        <v>45.73</v>
      </c>
      <c r="G111" s="51">
        <v>-6431824.3200000003</v>
      </c>
      <c r="H111" s="84">
        <v>-11743873.509999998</v>
      </c>
      <c r="J111" s="87">
        <v>-11935089.939999999</v>
      </c>
      <c r="L111" s="51">
        <f t="shared" si="8"/>
        <v>191216.43000000156</v>
      </c>
    </row>
    <row r="112" spans="1:12" x14ac:dyDescent="0.25">
      <c r="A112" t="s">
        <v>12</v>
      </c>
      <c r="B112" t="s">
        <v>12</v>
      </c>
      <c r="H112" s="83"/>
      <c r="J112" s="86"/>
    </row>
    <row r="113" spans="1:12" x14ac:dyDescent="0.25">
      <c r="A113" t="s">
        <v>180</v>
      </c>
      <c r="B113" t="s">
        <v>181</v>
      </c>
      <c r="C113" s="51"/>
      <c r="D113" s="51"/>
      <c r="E113" s="51"/>
      <c r="F113" s="51"/>
      <c r="G113" s="51"/>
      <c r="H113" s="84"/>
      <c r="J113" s="87"/>
      <c r="L113" s="51"/>
    </row>
    <row r="114" spans="1:12" x14ac:dyDescent="0.25">
      <c r="A114" t="s">
        <v>182</v>
      </c>
      <c r="B114" t="s">
        <v>183</v>
      </c>
      <c r="C114" s="50">
        <v>3633580.92</v>
      </c>
      <c r="D114" s="50">
        <v>5075121</v>
      </c>
      <c r="E114" s="50">
        <v>28.4</v>
      </c>
      <c r="F114" s="50">
        <v>71.599999999999994</v>
      </c>
      <c r="G114" s="50">
        <v>1441540.08</v>
      </c>
      <c r="H114" s="83">
        <v>7267161.8399999999</v>
      </c>
      <c r="J114" s="86">
        <v>7555509.1999999993</v>
      </c>
      <c r="L114" s="50">
        <f t="shared" ref="L114:L121" si="9">H114-J114</f>
        <v>-288347.3599999994</v>
      </c>
    </row>
    <row r="115" spans="1:12" x14ac:dyDescent="0.25">
      <c r="A115" t="s">
        <v>184</v>
      </c>
      <c r="B115" t="s">
        <v>185</v>
      </c>
      <c r="C115" s="50">
        <v>1000952.81</v>
      </c>
      <c r="G115" s="50">
        <v>-1000952.81</v>
      </c>
      <c r="H115" s="83">
        <v>1000952.81</v>
      </c>
      <c r="J115" s="86">
        <v>1006756.54</v>
      </c>
      <c r="L115" s="50">
        <f t="shared" si="9"/>
        <v>-5803.7299999999814</v>
      </c>
    </row>
    <row r="116" spans="1:12" x14ac:dyDescent="0.25">
      <c r="A116" t="s">
        <v>186</v>
      </c>
      <c r="B116" t="s">
        <v>187</v>
      </c>
      <c r="H116" s="83">
        <v>0</v>
      </c>
      <c r="J116" s="86">
        <v>0</v>
      </c>
      <c r="L116" s="50">
        <f t="shared" si="9"/>
        <v>0</v>
      </c>
    </row>
    <row r="117" spans="1:12" x14ac:dyDescent="0.25">
      <c r="A117" t="s">
        <v>188</v>
      </c>
      <c r="B117" t="s">
        <v>189</v>
      </c>
      <c r="C117" s="50">
        <v>130088.37</v>
      </c>
      <c r="G117" s="50">
        <v>-130088.37</v>
      </c>
      <c r="H117" s="83">
        <v>130088.37</v>
      </c>
      <c r="J117" s="86">
        <v>51851.8</v>
      </c>
      <c r="L117" s="50">
        <f t="shared" si="9"/>
        <v>78236.569999999992</v>
      </c>
    </row>
    <row r="118" spans="1:12" x14ac:dyDescent="0.25">
      <c r="A118" t="s">
        <v>190</v>
      </c>
      <c r="B118" t="s">
        <v>191</v>
      </c>
      <c r="H118" s="83">
        <v>0</v>
      </c>
      <c r="J118" s="86">
        <v>0</v>
      </c>
      <c r="L118" s="50">
        <f t="shared" si="9"/>
        <v>0</v>
      </c>
    </row>
    <row r="119" spans="1:12" x14ac:dyDescent="0.25">
      <c r="A119" t="s">
        <v>192</v>
      </c>
      <c r="B119" t="s">
        <v>193</v>
      </c>
      <c r="C119" s="50">
        <v>93154.92</v>
      </c>
      <c r="G119" s="50">
        <v>-93154.92</v>
      </c>
      <c r="H119" s="83">
        <v>93154.92</v>
      </c>
      <c r="J119" s="86">
        <v>0</v>
      </c>
      <c r="L119" s="50">
        <f t="shared" si="9"/>
        <v>93154.92</v>
      </c>
    </row>
    <row r="120" spans="1:12" x14ac:dyDescent="0.25">
      <c r="A120" t="s">
        <v>194</v>
      </c>
      <c r="B120" t="s">
        <v>195</v>
      </c>
      <c r="C120" s="50">
        <v>121482.11</v>
      </c>
      <c r="G120" s="50">
        <v>-121482.11</v>
      </c>
      <c r="H120" s="83">
        <v>121482.11</v>
      </c>
      <c r="J120" s="86">
        <v>0</v>
      </c>
      <c r="L120" s="50">
        <f t="shared" si="9"/>
        <v>121482.11</v>
      </c>
    </row>
    <row r="121" spans="1:12" x14ac:dyDescent="0.25">
      <c r="A121" t="s">
        <v>196</v>
      </c>
      <c r="B121" t="s">
        <v>197</v>
      </c>
      <c r="C121" s="51">
        <v>4979259.13</v>
      </c>
      <c r="D121" s="51">
        <v>5075121</v>
      </c>
      <c r="E121" s="51">
        <v>1.89</v>
      </c>
      <c r="F121" s="51">
        <v>98.11</v>
      </c>
      <c r="G121" s="51">
        <v>95861.87</v>
      </c>
      <c r="H121" s="84">
        <v>8612840.0499999989</v>
      </c>
      <c r="J121" s="87">
        <v>8614117.5399999991</v>
      </c>
      <c r="L121" s="51">
        <f t="shared" si="9"/>
        <v>-1277.4900000002235</v>
      </c>
    </row>
    <row r="122" spans="1:12" x14ac:dyDescent="0.25">
      <c r="A122" t="s">
        <v>198</v>
      </c>
      <c r="B122" t="s">
        <v>199</v>
      </c>
      <c r="C122" s="51">
        <v>-33063795.859999999</v>
      </c>
      <c r="D122" s="51">
        <v>-66770111.689999998</v>
      </c>
      <c r="E122" s="51">
        <v>50.48</v>
      </c>
      <c r="F122" s="51">
        <v>49.52</v>
      </c>
      <c r="G122" s="51">
        <v>-33706315.829999998</v>
      </c>
      <c r="H122" s="84">
        <v>-60585770.510000005</v>
      </c>
      <c r="J122" s="87">
        <v>-63254412.579999998</v>
      </c>
      <c r="L122" s="51">
        <f>H122-J122</f>
        <v>2668642.0699999928</v>
      </c>
    </row>
    <row r="123" spans="1:12" x14ac:dyDescent="0.25">
      <c r="A123" t="s">
        <v>12</v>
      </c>
      <c r="B123" t="s">
        <v>12</v>
      </c>
      <c r="H123" s="83"/>
      <c r="J123" s="86"/>
    </row>
    <row r="124" spans="1:12" x14ac:dyDescent="0.25">
      <c r="A124" t="s">
        <v>200</v>
      </c>
      <c r="B124" t="s">
        <v>201</v>
      </c>
      <c r="C124" s="51">
        <v>-33523026</v>
      </c>
      <c r="D124" s="51">
        <v>-67821717.689999998</v>
      </c>
      <c r="E124" s="51">
        <v>50.57</v>
      </c>
      <c r="F124" s="51">
        <v>49.43</v>
      </c>
      <c r="G124" s="51">
        <v>-34298691.689999998</v>
      </c>
      <c r="H124" s="84">
        <v>-61448036.320000008</v>
      </c>
      <c r="J124" s="87">
        <v>-64383095.640000001</v>
      </c>
      <c r="L124" s="51">
        <f t="shared" ref="L124:L125" si="10">H124-J124</f>
        <v>2935059.3199999928</v>
      </c>
    </row>
    <row r="125" spans="1:12" x14ac:dyDescent="0.25">
      <c r="A125" t="s">
        <v>12</v>
      </c>
      <c r="B125" t="s">
        <v>12</v>
      </c>
      <c r="H125" s="83"/>
      <c r="J125" s="86"/>
      <c r="L125" s="50">
        <f t="shared" si="10"/>
        <v>0</v>
      </c>
    </row>
    <row r="126" spans="1:12" x14ac:dyDescent="0.25">
      <c r="A126" t="s">
        <v>202</v>
      </c>
      <c r="B126" t="s">
        <v>203</v>
      </c>
      <c r="C126" s="51">
        <v>16726808.02</v>
      </c>
      <c r="D126" s="51">
        <v>28765554.489999998</v>
      </c>
      <c r="E126" s="51">
        <v>41.85</v>
      </c>
      <c r="F126" s="51">
        <v>58.15</v>
      </c>
      <c r="G126" s="51">
        <v>12038746.470000001</v>
      </c>
      <c r="H126" s="84">
        <v>24615818.139999993</v>
      </c>
      <c r="J126" s="87">
        <v>29245880.363931339</v>
      </c>
      <c r="L126" s="51">
        <f>H126-J126</f>
        <v>-4630062.2239313461</v>
      </c>
    </row>
    <row r="127" spans="1:12" x14ac:dyDescent="0.25">
      <c r="A127" t="s">
        <v>12</v>
      </c>
      <c r="B127" t="s">
        <v>12</v>
      </c>
      <c r="H127" s="83"/>
      <c r="J127" s="86"/>
    </row>
    <row r="128" spans="1:12" x14ac:dyDescent="0.25">
      <c r="A128" t="s">
        <v>204</v>
      </c>
      <c r="B128" t="s">
        <v>205</v>
      </c>
      <c r="C128" s="51"/>
      <c r="D128" s="51"/>
      <c r="E128" s="51"/>
      <c r="F128" s="51"/>
      <c r="G128" s="51"/>
      <c r="H128" s="84"/>
      <c r="J128" s="87"/>
      <c r="L128" s="51"/>
    </row>
    <row r="129" spans="1:12" x14ac:dyDescent="0.25">
      <c r="A129" t="s">
        <v>206</v>
      </c>
      <c r="B129" t="s">
        <v>207</v>
      </c>
      <c r="C129" s="50">
        <v>67544.899999999994</v>
      </c>
      <c r="D129" s="50">
        <v>580143.63</v>
      </c>
      <c r="E129" s="50">
        <v>88.36</v>
      </c>
      <c r="F129" s="50">
        <v>11.64</v>
      </c>
      <c r="G129" s="50">
        <v>512598.73</v>
      </c>
      <c r="H129" s="83">
        <v>580143.63</v>
      </c>
      <c r="J129" s="86">
        <v>580143.63</v>
      </c>
      <c r="L129" s="50">
        <f t="shared" ref="L129:L135" si="11">H129-J129</f>
        <v>0</v>
      </c>
    </row>
    <row r="130" spans="1:12" x14ac:dyDescent="0.25">
      <c r="A130" t="s">
        <v>208</v>
      </c>
      <c r="B130" t="s">
        <v>209</v>
      </c>
      <c r="C130" s="50">
        <v>1103518.27</v>
      </c>
      <c r="D130" s="50">
        <v>83204.73</v>
      </c>
      <c r="E130" s="50">
        <v>-1226.27</v>
      </c>
      <c r="F130" s="50">
        <v>1326.27</v>
      </c>
      <c r="G130" s="50">
        <v>-1020313.54</v>
      </c>
      <c r="H130" s="83">
        <v>1103518.2700000005</v>
      </c>
      <c r="J130" s="86">
        <v>118779.37999999999</v>
      </c>
      <c r="L130" s="50">
        <f t="shared" si="11"/>
        <v>984738.89000000048</v>
      </c>
    </row>
    <row r="131" spans="1:12" x14ac:dyDescent="0.25">
      <c r="A131" t="s">
        <v>210</v>
      </c>
      <c r="B131" t="s">
        <v>211</v>
      </c>
      <c r="D131" s="50">
        <v>150000</v>
      </c>
      <c r="E131" s="50">
        <v>100</v>
      </c>
      <c r="G131" s="50">
        <v>150000</v>
      </c>
      <c r="H131" s="83">
        <v>0</v>
      </c>
      <c r="J131" s="86">
        <v>0</v>
      </c>
      <c r="L131" s="50">
        <f t="shared" si="11"/>
        <v>0</v>
      </c>
    </row>
    <row r="132" spans="1:12" x14ac:dyDescent="0.25">
      <c r="A132" t="s">
        <v>212</v>
      </c>
      <c r="B132" t="s">
        <v>213</v>
      </c>
      <c r="H132" s="83">
        <v>0</v>
      </c>
      <c r="J132" s="86">
        <v>0</v>
      </c>
      <c r="L132" s="50">
        <f t="shared" si="11"/>
        <v>0</v>
      </c>
    </row>
    <row r="133" spans="1:12" x14ac:dyDescent="0.25">
      <c r="A133" t="s">
        <v>214</v>
      </c>
      <c r="B133" t="s">
        <v>215</v>
      </c>
      <c r="H133" s="83">
        <v>0</v>
      </c>
      <c r="J133" s="86">
        <v>0</v>
      </c>
      <c r="L133" s="50">
        <f t="shared" si="11"/>
        <v>0</v>
      </c>
    </row>
    <row r="134" spans="1:12" x14ac:dyDescent="0.25">
      <c r="A134" t="s">
        <v>216</v>
      </c>
      <c r="B134" t="s">
        <v>217</v>
      </c>
      <c r="C134" s="50">
        <v>15000</v>
      </c>
      <c r="G134" s="50">
        <v>-15000</v>
      </c>
      <c r="H134" s="83">
        <v>15000</v>
      </c>
      <c r="J134" s="86">
        <v>15000</v>
      </c>
      <c r="L134" s="50">
        <f t="shared" si="11"/>
        <v>0</v>
      </c>
    </row>
    <row r="135" spans="1:12" x14ac:dyDescent="0.25">
      <c r="A135" t="s">
        <v>218</v>
      </c>
      <c r="B135" t="s">
        <v>219</v>
      </c>
      <c r="C135" s="51">
        <v>1186063.17</v>
      </c>
      <c r="D135" s="51">
        <v>813348.36</v>
      </c>
      <c r="E135" s="51">
        <v>-45.82</v>
      </c>
      <c r="F135" s="51">
        <v>145.82</v>
      </c>
      <c r="G135" s="51">
        <v>-372714.81</v>
      </c>
      <c r="H135" s="84">
        <v>1698661.9</v>
      </c>
      <c r="J135" s="87">
        <v>713923.00999999989</v>
      </c>
      <c r="L135" s="51">
        <f t="shared" si="11"/>
        <v>984738.89</v>
      </c>
    </row>
    <row r="136" spans="1:12" x14ac:dyDescent="0.25">
      <c r="A136" t="s">
        <v>12</v>
      </c>
      <c r="B136" t="s">
        <v>12</v>
      </c>
      <c r="H136" s="83"/>
      <c r="J136" s="86"/>
    </row>
    <row r="137" spans="1:12" x14ac:dyDescent="0.25">
      <c r="A137" t="s">
        <v>220</v>
      </c>
      <c r="B137" t="s">
        <v>221</v>
      </c>
      <c r="C137" s="51"/>
      <c r="D137" s="51"/>
      <c r="E137" s="51"/>
      <c r="F137" s="51"/>
      <c r="G137" s="51"/>
      <c r="H137" s="84"/>
      <c r="J137" s="87"/>
      <c r="L137" s="51"/>
    </row>
    <row r="138" spans="1:12" x14ac:dyDescent="0.25">
      <c r="A138" t="s">
        <v>222</v>
      </c>
      <c r="B138" t="s">
        <v>223</v>
      </c>
      <c r="D138" s="50">
        <v>-4000000</v>
      </c>
      <c r="E138" s="50">
        <v>100</v>
      </c>
      <c r="G138" s="50">
        <v>-4000000</v>
      </c>
      <c r="H138" s="83">
        <v>-2000000</v>
      </c>
      <c r="J138" s="86">
        <v>-7000000</v>
      </c>
      <c r="L138" s="82">
        <f t="shared" ref="L138:L197" si="12">H138-J138</f>
        <v>5000000</v>
      </c>
    </row>
    <row r="139" spans="1:12" x14ac:dyDescent="0.25">
      <c r="A139" t="s">
        <v>224</v>
      </c>
      <c r="B139" t="s">
        <v>225</v>
      </c>
      <c r="H139" s="83">
        <v>0</v>
      </c>
      <c r="J139" s="86">
        <v>0</v>
      </c>
      <c r="L139" s="50">
        <f t="shared" si="12"/>
        <v>0</v>
      </c>
    </row>
    <row r="140" spans="1:12" x14ac:dyDescent="0.25">
      <c r="A140" t="s">
        <v>226</v>
      </c>
      <c r="B140" t="s">
        <v>227</v>
      </c>
      <c r="C140" s="50">
        <v>-2035138.09</v>
      </c>
      <c r="D140" s="50">
        <v>-3926274.64</v>
      </c>
      <c r="E140" s="50">
        <v>48.17</v>
      </c>
      <c r="F140" s="50">
        <v>51.83</v>
      </c>
      <c r="G140" s="50">
        <v>-1891136.55</v>
      </c>
      <c r="H140" s="83">
        <v>-9974209.9399999976</v>
      </c>
      <c r="J140" s="86">
        <v>-20287746.989999998</v>
      </c>
      <c r="L140" s="50">
        <f t="shared" si="12"/>
        <v>10313537.050000001</v>
      </c>
    </row>
    <row r="141" spans="1:12" x14ac:dyDescent="0.25">
      <c r="A141" t="s">
        <v>228</v>
      </c>
      <c r="B141" t="s">
        <v>229</v>
      </c>
      <c r="C141" s="50">
        <v>2035138.09</v>
      </c>
      <c r="D141" s="50">
        <v>3926274.64</v>
      </c>
      <c r="E141" s="50">
        <v>48.17</v>
      </c>
      <c r="F141" s="50">
        <v>51.83</v>
      </c>
      <c r="G141" s="50">
        <v>1891136.55</v>
      </c>
      <c r="H141" s="83">
        <v>9974209.9399999976</v>
      </c>
      <c r="J141" s="86">
        <v>20287746.989999998</v>
      </c>
      <c r="L141" s="50">
        <f t="shared" si="12"/>
        <v>-10313537.050000001</v>
      </c>
    </row>
    <row r="142" spans="1:12" x14ac:dyDescent="0.25">
      <c r="A142" t="s">
        <v>230</v>
      </c>
      <c r="B142" t="s">
        <v>231</v>
      </c>
      <c r="C142" s="50">
        <v>-4140.8</v>
      </c>
      <c r="D142" s="50">
        <v>-7000</v>
      </c>
      <c r="E142" s="50">
        <v>40.85</v>
      </c>
      <c r="F142" s="50">
        <v>59.15</v>
      </c>
      <c r="G142" s="50">
        <v>-2859.2</v>
      </c>
      <c r="H142" s="83">
        <v>-10260.799999999999</v>
      </c>
      <c r="J142" s="86">
        <v>-7000</v>
      </c>
      <c r="L142" s="50">
        <f t="shared" si="12"/>
        <v>-3260.7999999999993</v>
      </c>
    </row>
    <row r="143" spans="1:12" x14ac:dyDescent="0.25">
      <c r="A143" t="s">
        <v>232</v>
      </c>
      <c r="B143" t="s">
        <v>233</v>
      </c>
      <c r="C143" s="50">
        <v>-29987.16</v>
      </c>
      <c r="D143" s="50">
        <v>-274000</v>
      </c>
      <c r="E143" s="50">
        <v>89.06</v>
      </c>
      <c r="F143" s="50">
        <v>10.94</v>
      </c>
      <c r="G143" s="50">
        <v>-244012.84</v>
      </c>
      <c r="H143" s="83">
        <v>-274000</v>
      </c>
      <c r="J143" s="86">
        <v>-274000</v>
      </c>
      <c r="L143" s="50">
        <f t="shared" si="12"/>
        <v>0</v>
      </c>
    </row>
    <row r="144" spans="1:12" x14ac:dyDescent="0.25">
      <c r="A144" t="s">
        <v>234</v>
      </c>
      <c r="B144" t="s">
        <v>235</v>
      </c>
      <c r="D144" s="50">
        <v>-25000</v>
      </c>
      <c r="E144" s="50">
        <v>100</v>
      </c>
      <c r="G144" s="50">
        <v>-25000</v>
      </c>
      <c r="H144" s="83">
        <v>-25000</v>
      </c>
      <c r="J144" s="86">
        <v>-25000</v>
      </c>
      <c r="L144" s="50">
        <f t="shared" si="12"/>
        <v>0</v>
      </c>
    </row>
    <row r="145" spans="1:12" x14ac:dyDescent="0.25">
      <c r="A145" t="s">
        <v>236</v>
      </c>
      <c r="B145" t="s">
        <v>237</v>
      </c>
      <c r="C145" s="50">
        <v>-5782.94</v>
      </c>
      <c r="D145" s="50">
        <v>-35000</v>
      </c>
      <c r="E145" s="50">
        <v>83.48</v>
      </c>
      <c r="F145" s="50">
        <v>16.52</v>
      </c>
      <c r="G145" s="50">
        <v>-29217.06</v>
      </c>
      <c r="H145" s="83">
        <v>-35299.199999999997</v>
      </c>
      <c r="J145" s="86">
        <v>-35116.800000000003</v>
      </c>
      <c r="L145" s="50">
        <f t="shared" si="12"/>
        <v>-182.39999999999418</v>
      </c>
    </row>
    <row r="146" spans="1:12" x14ac:dyDescent="0.25">
      <c r="A146" t="s">
        <v>238</v>
      </c>
      <c r="B146" t="s">
        <v>239</v>
      </c>
      <c r="C146" s="50">
        <v>-28318.55</v>
      </c>
      <c r="D146" s="50">
        <v>-63506.63</v>
      </c>
      <c r="E146" s="50">
        <v>55.41</v>
      </c>
      <c r="F146" s="50">
        <v>44.59</v>
      </c>
      <c r="G146" s="50">
        <v>-35188.080000000002</v>
      </c>
      <c r="H146" s="83">
        <v>-71692.2</v>
      </c>
      <c r="J146" s="86">
        <v>-63506.63</v>
      </c>
      <c r="L146" s="50">
        <f t="shared" si="12"/>
        <v>-8185.57</v>
      </c>
    </row>
    <row r="147" spans="1:12" x14ac:dyDescent="0.25">
      <c r="A147" t="s">
        <v>240</v>
      </c>
      <c r="B147" t="s">
        <v>241</v>
      </c>
      <c r="C147" s="50">
        <v>-236820.31</v>
      </c>
      <c r="G147" s="50">
        <v>236820.31</v>
      </c>
      <c r="H147" s="83">
        <v>-236820.31</v>
      </c>
      <c r="J147" s="86">
        <v>-128090</v>
      </c>
      <c r="L147" s="50">
        <f t="shared" si="12"/>
        <v>-108730.31</v>
      </c>
    </row>
    <row r="148" spans="1:12" x14ac:dyDescent="0.25">
      <c r="A148" t="s">
        <v>242</v>
      </c>
      <c r="B148" t="s">
        <v>243</v>
      </c>
      <c r="C148" s="50">
        <v>-45160.07</v>
      </c>
      <c r="D148" s="50">
        <v>-192660</v>
      </c>
      <c r="E148" s="50">
        <v>76.56</v>
      </c>
      <c r="F148" s="50">
        <v>23.44</v>
      </c>
      <c r="G148" s="50">
        <v>-147499.93</v>
      </c>
      <c r="H148" s="83">
        <v>-192660</v>
      </c>
      <c r="J148" s="86">
        <v>-192660</v>
      </c>
      <c r="L148" s="50">
        <f t="shared" si="12"/>
        <v>0</v>
      </c>
    </row>
    <row r="149" spans="1:12" x14ac:dyDescent="0.25">
      <c r="A149" t="s">
        <v>244</v>
      </c>
      <c r="B149" t="s">
        <v>245</v>
      </c>
      <c r="C149" s="50">
        <v>-69039.679999999993</v>
      </c>
      <c r="D149" s="50">
        <v>-156400</v>
      </c>
      <c r="E149" s="50">
        <v>55.86</v>
      </c>
      <c r="F149" s="50">
        <v>44.14</v>
      </c>
      <c r="G149" s="50">
        <v>-87360.320000000007</v>
      </c>
      <c r="H149" s="83">
        <v>-156400</v>
      </c>
      <c r="J149" s="86">
        <v>-156400</v>
      </c>
      <c r="L149" s="50">
        <f t="shared" si="12"/>
        <v>0</v>
      </c>
    </row>
    <row r="150" spans="1:12" x14ac:dyDescent="0.25">
      <c r="A150" t="s">
        <v>246</v>
      </c>
      <c r="B150" t="s">
        <v>247</v>
      </c>
      <c r="C150" s="50">
        <v>-449754.97</v>
      </c>
      <c r="D150" s="50">
        <v>-4814375</v>
      </c>
      <c r="E150" s="50">
        <v>90.66</v>
      </c>
      <c r="F150" s="50">
        <v>9.34</v>
      </c>
      <c r="G150" s="50">
        <v>-4364620.03</v>
      </c>
      <c r="H150" s="83">
        <v>-4583588.24</v>
      </c>
      <c r="J150" s="86">
        <v>-1314375</v>
      </c>
      <c r="L150" s="82">
        <f t="shared" si="12"/>
        <v>-3269213.24</v>
      </c>
    </row>
    <row r="151" spans="1:12" x14ac:dyDescent="0.25">
      <c r="A151" t="s">
        <v>248</v>
      </c>
      <c r="B151" t="s">
        <v>249</v>
      </c>
      <c r="C151" s="50">
        <v>-109287.71</v>
      </c>
      <c r="D151" s="50">
        <v>-390000</v>
      </c>
      <c r="E151" s="50">
        <v>71.98</v>
      </c>
      <c r="F151" s="50">
        <v>28.02</v>
      </c>
      <c r="G151" s="50">
        <v>-280712.28999999998</v>
      </c>
      <c r="H151" s="83">
        <v>-390000</v>
      </c>
      <c r="J151" s="86">
        <v>-390000</v>
      </c>
      <c r="L151" s="50">
        <f t="shared" si="12"/>
        <v>0</v>
      </c>
    </row>
    <row r="152" spans="1:12" x14ac:dyDescent="0.25">
      <c r="A152" t="s">
        <v>250</v>
      </c>
      <c r="B152" t="s">
        <v>251</v>
      </c>
      <c r="H152" s="83">
        <v>0</v>
      </c>
      <c r="J152" s="86">
        <v>0</v>
      </c>
      <c r="L152" s="50">
        <f t="shared" si="12"/>
        <v>0</v>
      </c>
    </row>
    <row r="153" spans="1:12" x14ac:dyDescent="0.25">
      <c r="A153" t="s">
        <v>252</v>
      </c>
      <c r="B153" t="s">
        <v>253</v>
      </c>
      <c r="C153" s="50">
        <v>-100431.72</v>
      </c>
      <c r="D153" s="50">
        <v>-70000</v>
      </c>
      <c r="E153" s="50">
        <v>-43.47</v>
      </c>
      <c r="F153" s="50">
        <v>143.47</v>
      </c>
      <c r="G153" s="50">
        <v>30431.72</v>
      </c>
      <c r="H153" s="83">
        <v>-100431.72</v>
      </c>
      <c r="J153" s="86">
        <v>-71002.2</v>
      </c>
      <c r="L153" s="50">
        <f t="shared" si="12"/>
        <v>-29429.520000000004</v>
      </c>
    </row>
    <row r="154" spans="1:12" x14ac:dyDescent="0.25">
      <c r="A154" t="s">
        <v>254</v>
      </c>
      <c r="B154" t="s">
        <v>255</v>
      </c>
      <c r="C154" s="50">
        <v>-111985.19</v>
      </c>
      <c r="D154" s="50">
        <v>-213155.18</v>
      </c>
      <c r="E154" s="50">
        <v>47.46</v>
      </c>
      <c r="F154" s="50">
        <v>52.54</v>
      </c>
      <c r="G154" s="50">
        <v>-101169.99</v>
      </c>
      <c r="H154" s="83">
        <v>-213155.18</v>
      </c>
      <c r="J154" s="86">
        <v>-213155.18</v>
      </c>
      <c r="L154" s="50">
        <f t="shared" si="12"/>
        <v>0</v>
      </c>
    </row>
    <row r="155" spans="1:12" x14ac:dyDescent="0.25">
      <c r="A155" t="s">
        <v>256</v>
      </c>
      <c r="B155" t="s">
        <v>257</v>
      </c>
      <c r="D155" s="50">
        <v>-72666.66</v>
      </c>
      <c r="E155" s="50">
        <v>100</v>
      </c>
      <c r="G155" s="50">
        <v>-72666.66</v>
      </c>
      <c r="H155" s="83">
        <v>-72666.66</v>
      </c>
      <c r="J155" s="86">
        <v>-72666.66</v>
      </c>
      <c r="L155" s="50">
        <f t="shared" si="12"/>
        <v>0</v>
      </c>
    </row>
    <row r="156" spans="1:12" x14ac:dyDescent="0.25">
      <c r="A156" t="s">
        <v>258</v>
      </c>
      <c r="B156" t="s">
        <v>259</v>
      </c>
      <c r="C156" s="50">
        <v>-193393.85</v>
      </c>
      <c r="D156" s="50">
        <v>-49323.4</v>
      </c>
      <c r="E156" s="50">
        <v>-292.08999999999997</v>
      </c>
      <c r="F156" s="50">
        <v>392.09</v>
      </c>
      <c r="G156" s="50">
        <v>144070.45000000001</v>
      </c>
      <c r="H156" s="83">
        <v>-193393.85</v>
      </c>
      <c r="J156" s="86">
        <v>0</v>
      </c>
      <c r="L156" s="50">
        <f t="shared" si="12"/>
        <v>-193393.85</v>
      </c>
    </row>
    <row r="157" spans="1:12" x14ac:dyDescent="0.25">
      <c r="A157" t="s">
        <v>260</v>
      </c>
      <c r="B157" t="s">
        <v>261</v>
      </c>
      <c r="D157" s="50">
        <v>-866371</v>
      </c>
      <c r="E157" s="50">
        <v>100</v>
      </c>
      <c r="G157" s="50">
        <v>-866371</v>
      </c>
      <c r="H157" s="83">
        <v>0</v>
      </c>
      <c r="J157" s="86">
        <v>-476000</v>
      </c>
      <c r="L157" s="50">
        <f t="shared" si="12"/>
        <v>476000</v>
      </c>
    </row>
    <row r="158" spans="1:12" x14ac:dyDescent="0.25">
      <c r="A158" t="s">
        <v>262</v>
      </c>
      <c r="B158" t="s">
        <v>263</v>
      </c>
      <c r="C158" s="50">
        <v>-48932.63</v>
      </c>
      <c r="D158" s="50">
        <v>-1280000</v>
      </c>
      <c r="E158" s="50">
        <v>96.18</v>
      </c>
      <c r="F158" s="50">
        <v>3.82</v>
      </c>
      <c r="G158" s="50">
        <v>-1231067.3700000001</v>
      </c>
      <c r="H158" s="83">
        <v>-784743.46</v>
      </c>
      <c r="J158" s="86">
        <v>-781792.76</v>
      </c>
      <c r="L158" s="50">
        <f t="shared" si="12"/>
        <v>-2950.6999999999534</v>
      </c>
    </row>
    <row r="159" spans="1:12" x14ac:dyDescent="0.25">
      <c r="A159" t="s">
        <v>264</v>
      </c>
      <c r="B159" t="s">
        <v>265</v>
      </c>
      <c r="H159" s="83">
        <v>0</v>
      </c>
      <c r="J159" s="86">
        <v>0</v>
      </c>
      <c r="L159" s="50">
        <f t="shared" si="12"/>
        <v>0</v>
      </c>
    </row>
    <row r="160" spans="1:12" x14ac:dyDescent="0.25">
      <c r="A160" t="s">
        <v>266</v>
      </c>
      <c r="B160" t="s">
        <v>267</v>
      </c>
      <c r="H160" s="83">
        <v>0</v>
      </c>
      <c r="J160" s="86">
        <v>0</v>
      </c>
      <c r="L160" s="50">
        <f t="shared" si="12"/>
        <v>0</v>
      </c>
    </row>
    <row r="161" spans="1:12" x14ac:dyDescent="0.25">
      <c r="A161" t="s">
        <v>268</v>
      </c>
      <c r="B161" t="s">
        <v>269</v>
      </c>
      <c r="C161" s="50">
        <v>-702399.28</v>
      </c>
      <c r="D161" s="50">
        <v>-1508000</v>
      </c>
      <c r="E161" s="50">
        <v>53.42</v>
      </c>
      <c r="F161" s="50">
        <v>46.58</v>
      </c>
      <c r="G161" s="50">
        <v>-805600.72</v>
      </c>
      <c r="H161" s="83">
        <v>-1512771.94</v>
      </c>
      <c r="J161" s="86">
        <v>-2096138.1600000001</v>
      </c>
      <c r="L161" s="50">
        <f t="shared" si="12"/>
        <v>583366.2200000002</v>
      </c>
    </row>
    <row r="162" spans="1:12" x14ac:dyDescent="0.25">
      <c r="A162" t="s">
        <v>270</v>
      </c>
      <c r="B162" t="s">
        <v>271</v>
      </c>
      <c r="C162" s="50">
        <v>-354702.35</v>
      </c>
      <c r="D162" s="50">
        <v>-793000</v>
      </c>
      <c r="E162" s="50">
        <v>55.27</v>
      </c>
      <c r="F162" s="50">
        <v>44.73</v>
      </c>
      <c r="G162" s="50">
        <v>-438297.65</v>
      </c>
      <c r="H162" s="83">
        <v>-695046.39999999991</v>
      </c>
      <c r="J162" s="86">
        <v>-689211.44000000006</v>
      </c>
      <c r="L162" s="50">
        <f t="shared" si="12"/>
        <v>-5834.9599999998463</v>
      </c>
    </row>
    <row r="163" spans="1:12" x14ac:dyDescent="0.25">
      <c r="A163" t="s">
        <v>272</v>
      </c>
      <c r="B163" t="s">
        <v>273</v>
      </c>
      <c r="C163" s="50">
        <v>-237134.32</v>
      </c>
      <c r="D163" s="50">
        <v>-324642</v>
      </c>
      <c r="E163" s="50">
        <v>26.96</v>
      </c>
      <c r="F163" s="50">
        <v>73.040000000000006</v>
      </c>
      <c r="G163" s="50">
        <v>-87507.68</v>
      </c>
      <c r="H163" s="83">
        <v>-511585.14</v>
      </c>
      <c r="J163" s="86">
        <v>-575858.6</v>
      </c>
      <c r="L163" s="50">
        <f t="shared" si="12"/>
        <v>64273.459999999963</v>
      </c>
    </row>
    <row r="164" spans="1:12" x14ac:dyDescent="0.25">
      <c r="A164" t="s">
        <v>274</v>
      </c>
      <c r="B164" t="s">
        <v>275</v>
      </c>
      <c r="C164" s="50">
        <v>-22626.59</v>
      </c>
      <c r="D164" s="50">
        <v>-78500</v>
      </c>
      <c r="E164" s="50">
        <v>71.180000000000007</v>
      </c>
      <c r="F164" s="50">
        <v>28.82</v>
      </c>
      <c r="G164" s="50">
        <v>-55873.41</v>
      </c>
      <c r="H164" s="83">
        <v>-78500</v>
      </c>
      <c r="J164" s="86">
        <v>-78500</v>
      </c>
      <c r="L164" s="50">
        <f t="shared" si="12"/>
        <v>0</v>
      </c>
    </row>
    <row r="165" spans="1:12" x14ac:dyDescent="0.25">
      <c r="A165" t="s">
        <v>276</v>
      </c>
      <c r="B165" t="s">
        <v>277</v>
      </c>
      <c r="C165" s="50">
        <v>-12992.86</v>
      </c>
      <c r="D165" s="50">
        <v>-84000</v>
      </c>
      <c r="E165" s="50">
        <v>84.53</v>
      </c>
      <c r="F165" s="50">
        <v>15.47</v>
      </c>
      <c r="G165" s="50">
        <v>-71007.14</v>
      </c>
      <c r="H165" s="83">
        <v>-84407.85</v>
      </c>
      <c r="J165" s="86">
        <v>-84000</v>
      </c>
      <c r="L165" s="50">
        <f t="shared" si="12"/>
        <v>-407.85000000000582</v>
      </c>
    </row>
    <row r="166" spans="1:12" x14ac:dyDescent="0.25">
      <c r="A166" t="s">
        <v>278</v>
      </c>
      <c r="B166" t="s">
        <v>279</v>
      </c>
      <c r="C166" s="50">
        <v>229516.88</v>
      </c>
      <c r="G166" s="50">
        <v>-229516.88</v>
      </c>
      <c r="H166" s="83">
        <v>459033.76</v>
      </c>
      <c r="J166" s="86">
        <v>713544.32</v>
      </c>
      <c r="L166" s="50">
        <f t="shared" si="12"/>
        <v>-254510.55999999994</v>
      </c>
    </row>
    <row r="167" spans="1:12" x14ac:dyDescent="0.25">
      <c r="A167" t="s">
        <v>280</v>
      </c>
      <c r="B167" t="s">
        <v>281</v>
      </c>
      <c r="C167" s="50">
        <v>-275829.33</v>
      </c>
      <c r="D167" s="50">
        <v>-580000</v>
      </c>
      <c r="E167" s="50">
        <v>52.44</v>
      </c>
      <c r="F167" s="50">
        <v>47.56</v>
      </c>
      <c r="G167" s="50">
        <v>-304170.67</v>
      </c>
      <c r="H167" s="83">
        <v>-604459.51</v>
      </c>
      <c r="J167" s="86">
        <v>-580000</v>
      </c>
      <c r="L167" s="50">
        <f t="shared" si="12"/>
        <v>-24459.510000000009</v>
      </c>
    </row>
    <row r="168" spans="1:12" x14ac:dyDescent="0.25">
      <c r="A168" t="s">
        <v>282</v>
      </c>
      <c r="B168" t="s">
        <v>283</v>
      </c>
      <c r="C168" s="50">
        <v>-944196.49</v>
      </c>
      <c r="D168" s="50">
        <v>-2200000</v>
      </c>
      <c r="E168" s="50">
        <v>57.08</v>
      </c>
      <c r="F168" s="50">
        <v>42.92</v>
      </c>
      <c r="G168" s="50">
        <v>-1255803.51</v>
      </c>
      <c r="H168" s="83">
        <v>-2600000</v>
      </c>
      <c r="J168" s="86">
        <v>-2600000</v>
      </c>
      <c r="L168" s="50">
        <f t="shared" si="12"/>
        <v>0</v>
      </c>
    </row>
    <row r="169" spans="1:12" x14ac:dyDescent="0.25">
      <c r="A169" t="s">
        <v>284</v>
      </c>
      <c r="B169" t="s">
        <v>285</v>
      </c>
      <c r="C169" s="50">
        <v>-109624.75</v>
      </c>
      <c r="D169" s="50">
        <v>-350000</v>
      </c>
      <c r="E169" s="50">
        <v>68.680000000000007</v>
      </c>
      <c r="F169" s="50">
        <v>31.32</v>
      </c>
      <c r="G169" s="50">
        <v>-240375.25</v>
      </c>
      <c r="H169" s="83">
        <v>-350000</v>
      </c>
      <c r="J169" s="86">
        <v>-350000</v>
      </c>
      <c r="L169" s="50">
        <f t="shared" si="12"/>
        <v>0</v>
      </c>
    </row>
    <row r="170" spans="1:12" x14ac:dyDescent="0.25">
      <c r="A170" t="s">
        <v>286</v>
      </c>
      <c r="B170" t="s">
        <v>287</v>
      </c>
      <c r="C170" s="50">
        <v>-38500</v>
      </c>
      <c r="D170" s="50">
        <v>-50000</v>
      </c>
      <c r="E170" s="50">
        <v>23</v>
      </c>
      <c r="F170" s="50">
        <v>77</v>
      </c>
      <c r="G170" s="50">
        <v>-11500</v>
      </c>
      <c r="H170" s="83">
        <v>-100000</v>
      </c>
      <c r="J170" s="86">
        <v>-100000</v>
      </c>
      <c r="L170" s="50">
        <f t="shared" si="12"/>
        <v>0</v>
      </c>
    </row>
    <row r="171" spans="1:12" x14ac:dyDescent="0.25">
      <c r="A171" t="s">
        <v>288</v>
      </c>
      <c r="B171" t="s">
        <v>289</v>
      </c>
      <c r="C171" s="50">
        <v>-231872.5</v>
      </c>
      <c r="D171" s="50">
        <v>-296956.57</v>
      </c>
      <c r="E171" s="50">
        <v>21.92</v>
      </c>
      <c r="F171" s="50">
        <v>78.08</v>
      </c>
      <c r="G171" s="50">
        <v>-65084.07</v>
      </c>
      <c r="H171" s="83">
        <v>-800412.07000000007</v>
      </c>
      <c r="J171" s="86">
        <v>-675065.57000000007</v>
      </c>
      <c r="L171" s="50">
        <f t="shared" si="12"/>
        <v>-125346.5</v>
      </c>
    </row>
    <row r="172" spans="1:12" x14ac:dyDescent="0.25">
      <c r="A172" t="s">
        <v>290</v>
      </c>
      <c r="B172" t="s">
        <v>291</v>
      </c>
      <c r="C172" s="50">
        <v>-6644.8</v>
      </c>
      <c r="D172" s="50">
        <v>-72000</v>
      </c>
      <c r="E172" s="50">
        <v>90.77</v>
      </c>
      <c r="F172" s="50">
        <v>9.23</v>
      </c>
      <c r="G172" s="50">
        <v>-65355.199999999997</v>
      </c>
      <c r="H172" s="83">
        <v>-72000</v>
      </c>
      <c r="J172" s="86">
        <v>-72000</v>
      </c>
      <c r="L172" s="50">
        <f t="shared" si="12"/>
        <v>0</v>
      </c>
    </row>
    <row r="173" spans="1:12" x14ac:dyDescent="0.25">
      <c r="A173" t="s">
        <v>292</v>
      </c>
      <c r="B173" t="s">
        <v>293</v>
      </c>
      <c r="C173" s="50">
        <v>-101017.71</v>
      </c>
      <c r="D173" s="50">
        <v>-270787.61</v>
      </c>
      <c r="E173" s="50">
        <v>62.69</v>
      </c>
      <c r="F173" s="50">
        <v>37.31</v>
      </c>
      <c r="G173" s="50">
        <v>-169769.9</v>
      </c>
      <c r="H173" s="83">
        <v>-282723.86</v>
      </c>
      <c r="J173" s="86">
        <v>-270787.61</v>
      </c>
      <c r="L173" s="50">
        <f t="shared" si="12"/>
        <v>-11936.25</v>
      </c>
    </row>
    <row r="174" spans="1:12" x14ac:dyDescent="0.25">
      <c r="A174" t="s">
        <v>294</v>
      </c>
      <c r="B174" t="s">
        <v>295</v>
      </c>
      <c r="C174" s="50">
        <v>-2147078.29</v>
      </c>
      <c r="D174" s="50">
        <v>-238558.88</v>
      </c>
      <c r="E174" s="50">
        <v>-800.02</v>
      </c>
      <c r="F174" s="50">
        <v>900.02</v>
      </c>
      <c r="G174" s="50">
        <v>1908519.41</v>
      </c>
      <c r="H174" s="83">
        <v>-1307984.17</v>
      </c>
      <c r="J174" s="86">
        <v>-262789.08</v>
      </c>
      <c r="L174" s="50">
        <f t="shared" si="12"/>
        <v>-1045195.0899999999</v>
      </c>
    </row>
    <row r="175" spans="1:12" x14ac:dyDescent="0.25">
      <c r="A175" t="s">
        <v>296</v>
      </c>
      <c r="B175" t="s">
        <v>297</v>
      </c>
      <c r="C175" s="50">
        <v>-21284.19</v>
      </c>
      <c r="D175" s="50">
        <v>-64200</v>
      </c>
      <c r="E175" s="50">
        <v>66.849999999999994</v>
      </c>
      <c r="F175" s="50">
        <v>33.15</v>
      </c>
      <c r="G175" s="50">
        <v>-42915.81</v>
      </c>
      <c r="H175" s="83">
        <v>-64300</v>
      </c>
      <c r="J175" s="86">
        <v>-64200</v>
      </c>
      <c r="L175" s="50">
        <f t="shared" si="12"/>
        <v>-100</v>
      </c>
    </row>
    <row r="176" spans="1:12" x14ac:dyDescent="0.25">
      <c r="A176" t="s">
        <v>298</v>
      </c>
      <c r="B176" t="s">
        <v>299</v>
      </c>
      <c r="C176" s="50">
        <v>-510707.83</v>
      </c>
      <c r="D176" s="50">
        <v>-1222000</v>
      </c>
      <c r="E176" s="50">
        <v>58.21</v>
      </c>
      <c r="F176" s="50">
        <v>41.79</v>
      </c>
      <c r="G176" s="50">
        <v>-711292.17</v>
      </c>
      <c r="H176" s="83">
        <v>-1222477.28</v>
      </c>
      <c r="J176" s="86">
        <v>-1222000</v>
      </c>
      <c r="L176" s="50">
        <f t="shared" si="12"/>
        <v>-477.28000000002794</v>
      </c>
    </row>
    <row r="177" spans="1:12" x14ac:dyDescent="0.25">
      <c r="A177" t="s">
        <v>300</v>
      </c>
      <c r="B177" t="s">
        <v>301</v>
      </c>
      <c r="C177" s="50">
        <v>-272512.19</v>
      </c>
      <c r="D177" s="50">
        <v>-96619</v>
      </c>
      <c r="E177" s="50">
        <v>-182.05</v>
      </c>
      <c r="F177" s="50">
        <v>282.05</v>
      </c>
      <c r="G177" s="50">
        <v>175893.19</v>
      </c>
      <c r="H177" s="83">
        <v>-284131.19</v>
      </c>
      <c r="J177" s="86">
        <v>-97516</v>
      </c>
      <c r="L177" s="50">
        <f t="shared" si="12"/>
        <v>-186615.19</v>
      </c>
    </row>
    <row r="178" spans="1:12" x14ac:dyDescent="0.25">
      <c r="A178" t="s">
        <v>302</v>
      </c>
      <c r="B178" t="s">
        <v>303</v>
      </c>
      <c r="C178" s="50">
        <v>-21386.720000000001</v>
      </c>
      <c r="D178" s="50">
        <v>-68000</v>
      </c>
      <c r="E178" s="50">
        <v>68.55</v>
      </c>
      <c r="F178" s="50">
        <v>31.45</v>
      </c>
      <c r="G178" s="50">
        <v>-46613.279999999999</v>
      </c>
      <c r="H178" s="83">
        <v>-74635.94</v>
      </c>
      <c r="J178" s="86">
        <v>-74550</v>
      </c>
      <c r="L178" s="50">
        <f t="shared" si="12"/>
        <v>-85.940000000002328</v>
      </c>
    </row>
    <row r="179" spans="1:12" x14ac:dyDescent="0.25">
      <c r="A179" t="s">
        <v>304</v>
      </c>
      <c r="B179" t="s">
        <v>305</v>
      </c>
      <c r="D179" s="50">
        <v>-90000</v>
      </c>
      <c r="E179" s="50">
        <v>100</v>
      </c>
      <c r="G179" s="50">
        <v>-90000</v>
      </c>
      <c r="H179" s="83">
        <v>-45000</v>
      </c>
      <c r="J179" s="86">
        <v>-45000</v>
      </c>
      <c r="L179" s="50">
        <f t="shared" si="12"/>
        <v>0</v>
      </c>
    </row>
    <row r="180" spans="1:12" x14ac:dyDescent="0.25">
      <c r="A180" t="s">
        <v>306</v>
      </c>
      <c r="B180" t="s">
        <v>307</v>
      </c>
      <c r="C180" s="50">
        <v>-157927.48000000001</v>
      </c>
      <c r="D180" s="50">
        <v>-165000</v>
      </c>
      <c r="E180" s="50">
        <v>4.29</v>
      </c>
      <c r="F180" s="50">
        <v>95.71</v>
      </c>
      <c r="G180" s="50">
        <v>-7072.52</v>
      </c>
      <c r="H180" s="83">
        <v>-265000</v>
      </c>
      <c r="J180" s="86">
        <v>-265000</v>
      </c>
      <c r="L180" s="50">
        <f t="shared" si="12"/>
        <v>0</v>
      </c>
    </row>
    <row r="181" spans="1:12" x14ac:dyDescent="0.25">
      <c r="A181" t="s">
        <v>308</v>
      </c>
      <c r="B181" t="s">
        <v>309</v>
      </c>
      <c r="C181" s="50">
        <v>28225.93</v>
      </c>
      <c r="D181" s="50">
        <v>-960000</v>
      </c>
      <c r="E181" s="50">
        <v>102.94</v>
      </c>
      <c r="F181" s="50">
        <v>-2.94</v>
      </c>
      <c r="G181" s="50">
        <v>-988225.93</v>
      </c>
      <c r="H181" s="83">
        <v>-709736.15</v>
      </c>
      <c r="J181" s="86">
        <v>-960000</v>
      </c>
      <c r="L181" s="50">
        <f t="shared" si="12"/>
        <v>250263.84999999998</v>
      </c>
    </row>
    <row r="182" spans="1:12" x14ac:dyDescent="0.25">
      <c r="A182" t="s">
        <v>310</v>
      </c>
      <c r="B182" t="s">
        <v>311</v>
      </c>
      <c r="C182" s="50">
        <v>-1902</v>
      </c>
      <c r="D182" s="50">
        <v>-5100</v>
      </c>
      <c r="E182" s="50">
        <v>62.71</v>
      </c>
      <c r="F182" s="50">
        <v>37.29</v>
      </c>
      <c r="G182" s="50">
        <v>-3198</v>
      </c>
      <c r="H182" s="83">
        <v>-6456</v>
      </c>
      <c r="J182" s="86">
        <v>-5100</v>
      </c>
      <c r="L182" s="50">
        <f t="shared" si="12"/>
        <v>-1356</v>
      </c>
    </row>
    <row r="183" spans="1:12" x14ac:dyDescent="0.25">
      <c r="A183" t="s">
        <v>312</v>
      </c>
      <c r="B183" t="s">
        <v>313</v>
      </c>
      <c r="C183" s="50">
        <v>-122788.16</v>
      </c>
      <c r="D183" s="50">
        <v>-340000.02</v>
      </c>
      <c r="E183" s="50">
        <v>63.89</v>
      </c>
      <c r="F183" s="50">
        <v>36.11</v>
      </c>
      <c r="G183" s="50">
        <v>-217211.86</v>
      </c>
      <c r="H183" s="83">
        <v>-326660.09999999998</v>
      </c>
      <c r="J183" s="86">
        <v>-326660.09999999998</v>
      </c>
      <c r="L183" s="50">
        <f t="shared" si="12"/>
        <v>0</v>
      </c>
    </row>
    <row r="184" spans="1:12" x14ac:dyDescent="0.25">
      <c r="A184" t="s">
        <v>314</v>
      </c>
      <c r="B184" t="s">
        <v>315</v>
      </c>
      <c r="C184" s="50">
        <v>-53954.52</v>
      </c>
      <c r="D184" s="50">
        <v>-263500</v>
      </c>
      <c r="E184" s="50">
        <v>79.52</v>
      </c>
      <c r="F184" s="50">
        <v>20.48</v>
      </c>
      <c r="G184" s="50">
        <v>-209545.48</v>
      </c>
      <c r="H184" s="83">
        <v>-268000</v>
      </c>
      <c r="J184" s="86">
        <v>-263500</v>
      </c>
      <c r="L184" s="50">
        <f t="shared" si="12"/>
        <v>-4500</v>
      </c>
    </row>
    <row r="185" spans="1:12" x14ac:dyDescent="0.25">
      <c r="A185" t="s">
        <v>316</v>
      </c>
      <c r="B185" t="s">
        <v>317</v>
      </c>
      <c r="C185" s="50">
        <v>-27715.03</v>
      </c>
      <c r="D185" s="50">
        <v>-117000</v>
      </c>
      <c r="E185" s="50">
        <v>76.31</v>
      </c>
      <c r="F185" s="50">
        <v>23.69</v>
      </c>
      <c r="G185" s="50">
        <v>-89284.97</v>
      </c>
      <c r="H185" s="83">
        <v>-117000</v>
      </c>
      <c r="J185" s="86">
        <v>-117000</v>
      </c>
      <c r="L185" s="50">
        <f t="shared" si="12"/>
        <v>0</v>
      </c>
    </row>
    <row r="186" spans="1:12" x14ac:dyDescent="0.25">
      <c r="A186" t="s">
        <v>318</v>
      </c>
      <c r="B186" t="s">
        <v>319</v>
      </c>
      <c r="C186" s="50">
        <v>-123297.54</v>
      </c>
      <c r="D186" s="50">
        <v>-1190688</v>
      </c>
      <c r="E186" s="50">
        <v>89.64</v>
      </c>
      <c r="F186" s="50">
        <v>10.36</v>
      </c>
      <c r="G186" s="50">
        <v>-1067390.46</v>
      </c>
      <c r="H186" s="83">
        <v>-1190688</v>
      </c>
      <c r="J186" s="86">
        <v>-1190688</v>
      </c>
      <c r="L186" s="50">
        <f t="shared" si="12"/>
        <v>0</v>
      </c>
    </row>
    <row r="187" spans="1:12" x14ac:dyDescent="0.25">
      <c r="A187" t="s">
        <v>320</v>
      </c>
      <c r="B187" t="s">
        <v>321</v>
      </c>
      <c r="C187" s="50">
        <v>-32538.06</v>
      </c>
      <c r="D187" s="50">
        <v>-271999.99</v>
      </c>
      <c r="E187" s="50">
        <v>88.04</v>
      </c>
      <c r="F187" s="50">
        <v>11.96</v>
      </c>
      <c r="G187" s="50">
        <v>-239461.93</v>
      </c>
      <c r="H187" s="83">
        <v>-272313.95</v>
      </c>
      <c r="J187" s="86">
        <v>-272141.95</v>
      </c>
      <c r="L187" s="50">
        <f t="shared" si="12"/>
        <v>-172</v>
      </c>
    </row>
    <row r="188" spans="1:12" x14ac:dyDescent="0.25">
      <c r="A188" t="s">
        <v>322</v>
      </c>
      <c r="B188" t="s">
        <v>323</v>
      </c>
      <c r="C188" s="50">
        <v>-1183182.6100000001</v>
      </c>
      <c r="D188" s="50">
        <v>-4683700</v>
      </c>
      <c r="E188" s="50">
        <v>74.739999999999995</v>
      </c>
      <c r="F188" s="50">
        <v>25.26</v>
      </c>
      <c r="G188" s="50">
        <v>-3500517.39</v>
      </c>
      <c r="H188" s="83">
        <v>-4683700</v>
      </c>
      <c r="J188" s="86">
        <v>-4683700</v>
      </c>
      <c r="L188" s="50">
        <f t="shared" si="12"/>
        <v>0</v>
      </c>
    </row>
    <row r="189" spans="1:12" x14ac:dyDescent="0.25">
      <c r="A189" t="s">
        <v>324</v>
      </c>
      <c r="B189" t="s">
        <v>325</v>
      </c>
      <c r="C189" s="50">
        <v>-7842</v>
      </c>
      <c r="G189" s="50">
        <v>7842</v>
      </c>
      <c r="H189" s="83">
        <v>-7842</v>
      </c>
      <c r="J189" s="86">
        <v>-4662</v>
      </c>
      <c r="L189" s="50">
        <f t="shared" si="12"/>
        <v>-3180</v>
      </c>
    </row>
    <row r="190" spans="1:12" x14ac:dyDescent="0.25">
      <c r="A190" t="s">
        <v>326</v>
      </c>
      <c r="B190" t="s">
        <v>327</v>
      </c>
      <c r="C190" s="50">
        <v>-98589.34</v>
      </c>
      <c r="D190" s="50">
        <v>-140000</v>
      </c>
      <c r="E190" s="50">
        <v>29.58</v>
      </c>
      <c r="F190" s="50">
        <v>70.42</v>
      </c>
      <c r="G190" s="50">
        <v>-41410.660000000003</v>
      </c>
      <c r="H190" s="83">
        <v>-144030</v>
      </c>
      <c r="J190" s="86">
        <v>-140977</v>
      </c>
      <c r="L190" s="50">
        <f t="shared" si="12"/>
        <v>-3053</v>
      </c>
    </row>
    <row r="191" spans="1:12" x14ac:dyDescent="0.25">
      <c r="A191" t="s">
        <v>328</v>
      </c>
      <c r="B191" t="s">
        <v>329</v>
      </c>
      <c r="D191" s="50">
        <v>-674000</v>
      </c>
      <c r="E191" s="50">
        <v>100</v>
      </c>
      <c r="G191" s="50">
        <v>-674000</v>
      </c>
      <c r="H191" s="83">
        <v>-674000</v>
      </c>
      <c r="J191" s="86">
        <v>-674000</v>
      </c>
      <c r="L191" s="50">
        <f t="shared" si="12"/>
        <v>0</v>
      </c>
    </row>
    <row r="192" spans="1:12" x14ac:dyDescent="0.25">
      <c r="A192" t="s">
        <v>330</v>
      </c>
      <c r="B192" t="s">
        <v>331</v>
      </c>
      <c r="C192" s="50">
        <v>-149461.17000000001</v>
      </c>
      <c r="D192" s="50">
        <v>-570218</v>
      </c>
      <c r="E192" s="50">
        <v>73.790000000000006</v>
      </c>
      <c r="F192" s="50">
        <v>26.21</v>
      </c>
      <c r="G192" s="50">
        <v>-420756.83</v>
      </c>
      <c r="H192" s="83">
        <v>-627632.4</v>
      </c>
      <c r="J192" s="86">
        <v>-570218</v>
      </c>
      <c r="L192" s="50">
        <f t="shared" si="12"/>
        <v>-57414.400000000023</v>
      </c>
    </row>
    <row r="193" spans="1:12" x14ac:dyDescent="0.25">
      <c r="A193" t="s">
        <v>332</v>
      </c>
      <c r="B193" t="s">
        <v>333</v>
      </c>
      <c r="H193" s="83">
        <v>0</v>
      </c>
      <c r="J193" s="86">
        <v>0</v>
      </c>
      <c r="L193" s="50">
        <f t="shared" si="12"/>
        <v>0</v>
      </c>
    </row>
    <row r="194" spans="1:12" x14ac:dyDescent="0.25">
      <c r="A194" t="s">
        <v>334</v>
      </c>
      <c r="B194" t="s">
        <v>335</v>
      </c>
      <c r="C194" s="50">
        <v>-1.62</v>
      </c>
      <c r="D194" s="50">
        <v>22.49</v>
      </c>
      <c r="E194" s="50">
        <v>107.2</v>
      </c>
      <c r="F194" s="50">
        <v>-7.2</v>
      </c>
      <c r="G194" s="50">
        <v>24.11</v>
      </c>
      <c r="H194" s="83">
        <v>22.49</v>
      </c>
      <c r="J194" s="86">
        <v>22.49</v>
      </c>
      <c r="L194" s="50">
        <f t="shared" si="12"/>
        <v>0</v>
      </c>
    </row>
    <row r="195" spans="1:12" x14ac:dyDescent="0.25">
      <c r="A195" t="s">
        <v>336</v>
      </c>
      <c r="B195" t="s">
        <v>337</v>
      </c>
      <c r="H195" s="83">
        <v>0</v>
      </c>
      <c r="J195" s="86">
        <v>0</v>
      </c>
      <c r="L195" s="50">
        <f t="shared" si="12"/>
        <v>0</v>
      </c>
    </row>
    <row r="196" spans="1:12" x14ac:dyDescent="0.25">
      <c r="A196" t="s">
        <v>338</v>
      </c>
      <c r="B196" t="s">
        <v>339</v>
      </c>
      <c r="H196" s="83">
        <v>0</v>
      </c>
      <c r="J196" s="86">
        <v>0</v>
      </c>
      <c r="L196" s="50">
        <f t="shared" si="12"/>
        <v>0</v>
      </c>
    </row>
    <row r="197" spans="1:12" x14ac:dyDescent="0.25">
      <c r="A197" t="s">
        <v>340</v>
      </c>
      <c r="B197" t="s">
        <v>341</v>
      </c>
      <c r="C197" s="51">
        <v>-9145002.5</v>
      </c>
      <c r="D197" s="51">
        <v>-30277905.449999999</v>
      </c>
      <c r="E197" s="51">
        <v>69.8</v>
      </c>
      <c r="F197" s="51">
        <v>30.2</v>
      </c>
      <c r="G197" s="51">
        <v>-21132902.949999999</v>
      </c>
      <c r="H197" s="84">
        <v>-28864549.32</v>
      </c>
      <c r="J197" s="87">
        <v>-29898461.93</v>
      </c>
      <c r="L197" s="51">
        <f t="shared" si="12"/>
        <v>1033912.6099999994</v>
      </c>
    </row>
    <row r="198" spans="1:12" x14ac:dyDescent="0.25">
      <c r="A198" t="s">
        <v>12</v>
      </c>
      <c r="B198" t="s">
        <v>12</v>
      </c>
      <c r="H198" s="83"/>
      <c r="J198" s="86"/>
    </row>
    <row r="199" spans="1:12" x14ac:dyDescent="0.25">
      <c r="A199" t="s">
        <v>342</v>
      </c>
      <c r="B199" t="s">
        <v>343</v>
      </c>
      <c r="C199" s="51"/>
      <c r="D199" s="51"/>
      <c r="E199" s="51"/>
      <c r="F199" s="51"/>
      <c r="G199" s="51"/>
      <c r="H199" s="84"/>
      <c r="J199" s="87"/>
      <c r="L199" s="51"/>
    </row>
    <row r="200" spans="1:12" x14ac:dyDescent="0.25">
      <c r="A200" t="s">
        <v>344</v>
      </c>
      <c r="B200" t="s">
        <v>345</v>
      </c>
      <c r="H200" s="83">
        <v>0</v>
      </c>
      <c r="J200" s="86">
        <v>0</v>
      </c>
      <c r="L200" s="50">
        <f t="shared" ref="L200:L208" si="13">H200-J200</f>
        <v>0</v>
      </c>
    </row>
    <row r="201" spans="1:12" x14ac:dyDescent="0.25">
      <c r="A201" t="s">
        <v>346</v>
      </c>
      <c r="B201" t="s">
        <v>347</v>
      </c>
      <c r="H201" s="83">
        <v>0</v>
      </c>
      <c r="J201" s="86">
        <v>0</v>
      </c>
      <c r="L201" s="50">
        <f t="shared" si="13"/>
        <v>0</v>
      </c>
    </row>
    <row r="202" spans="1:12" x14ac:dyDescent="0.25">
      <c r="A202" t="s">
        <v>348</v>
      </c>
      <c r="B202" t="s">
        <v>349</v>
      </c>
      <c r="D202" s="50">
        <v>42000</v>
      </c>
      <c r="E202" s="50">
        <v>100</v>
      </c>
      <c r="G202" s="50">
        <v>42000</v>
      </c>
      <c r="H202" s="83">
        <v>1000</v>
      </c>
      <c r="J202" s="86">
        <v>1000</v>
      </c>
      <c r="L202" s="50">
        <f t="shared" si="13"/>
        <v>0</v>
      </c>
    </row>
    <row r="203" spans="1:12" x14ac:dyDescent="0.25">
      <c r="A203" t="s">
        <v>350</v>
      </c>
      <c r="B203" t="s">
        <v>351</v>
      </c>
      <c r="H203" s="83">
        <v>0</v>
      </c>
      <c r="J203" s="86">
        <v>0</v>
      </c>
      <c r="L203" s="50">
        <f t="shared" si="13"/>
        <v>0</v>
      </c>
    </row>
    <row r="204" spans="1:12" x14ac:dyDescent="0.25">
      <c r="A204" t="s">
        <v>352</v>
      </c>
      <c r="B204" t="s">
        <v>353</v>
      </c>
      <c r="H204" s="83">
        <v>0</v>
      </c>
      <c r="J204" s="86">
        <v>0</v>
      </c>
      <c r="L204" s="50">
        <f t="shared" si="13"/>
        <v>0</v>
      </c>
    </row>
    <row r="205" spans="1:12" x14ac:dyDescent="0.25">
      <c r="A205" t="s">
        <v>354</v>
      </c>
      <c r="B205" t="s">
        <v>355</v>
      </c>
      <c r="C205" s="50">
        <v>-1246.72</v>
      </c>
      <c r="G205" s="50">
        <v>1246.72</v>
      </c>
      <c r="H205" s="83">
        <v>-1246.72</v>
      </c>
      <c r="J205" s="86">
        <v>230.07</v>
      </c>
      <c r="L205" s="50">
        <f t="shared" si="13"/>
        <v>-1476.79</v>
      </c>
    </row>
    <row r="206" spans="1:12" x14ac:dyDescent="0.25">
      <c r="A206" t="s">
        <v>356</v>
      </c>
      <c r="B206" t="s">
        <v>357</v>
      </c>
      <c r="H206" s="83">
        <v>0</v>
      </c>
      <c r="J206" s="86">
        <v>0</v>
      </c>
      <c r="L206" s="50">
        <f t="shared" si="13"/>
        <v>0</v>
      </c>
    </row>
    <row r="207" spans="1:12" x14ac:dyDescent="0.25">
      <c r="A207" t="s">
        <v>358</v>
      </c>
      <c r="B207" t="s">
        <v>359</v>
      </c>
      <c r="H207" s="83">
        <v>0</v>
      </c>
      <c r="J207" s="86">
        <v>0</v>
      </c>
      <c r="L207" s="50">
        <f t="shared" si="13"/>
        <v>0</v>
      </c>
    </row>
    <row r="208" spans="1:12" x14ac:dyDescent="0.25">
      <c r="A208" t="s">
        <v>360</v>
      </c>
      <c r="B208" t="s">
        <v>361</v>
      </c>
      <c r="C208" s="51">
        <v>-1246.72</v>
      </c>
      <c r="D208" s="51">
        <v>42000</v>
      </c>
      <c r="E208" s="51">
        <v>102.97</v>
      </c>
      <c r="F208" s="51">
        <v>-2.97</v>
      </c>
      <c r="G208" s="51">
        <v>43246.720000000001</v>
      </c>
      <c r="H208" s="84">
        <v>-246.72000000000003</v>
      </c>
      <c r="J208" s="87">
        <v>1230.07</v>
      </c>
      <c r="L208" s="51">
        <f t="shared" si="13"/>
        <v>-1476.79</v>
      </c>
    </row>
    <row r="209" spans="1:12" x14ac:dyDescent="0.25">
      <c r="A209" t="s">
        <v>12</v>
      </c>
      <c r="B209" t="s">
        <v>12</v>
      </c>
      <c r="H209" s="83"/>
      <c r="J209" s="86"/>
    </row>
    <row r="210" spans="1:12" x14ac:dyDescent="0.25">
      <c r="A210" t="s">
        <v>362</v>
      </c>
      <c r="B210" t="s">
        <v>40</v>
      </c>
      <c r="C210" s="51"/>
      <c r="D210" s="51"/>
      <c r="E210" s="51"/>
      <c r="F210" s="51"/>
      <c r="G210" s="51"/>
      <c r="H210" s="84"/>
      <c r="J210" s="87"/>
      <c r="L210" s="51"/>
    </row>
    <row r="211" spans="1:12" x14ac:dyDescent="0.25">
      <c r="A211" t="s">
        <v>363</v>
      </c>
      <c r="B211" t="s">
        <v>364</v>
      </c>
      <c r="D211" s="50">
        <v>-245.74</v>
      </c>
      <c r="E211" s="50">
        <v>100</v>
      </c>
      <c r="G211" s="50">
        <v>-245.74</v>
      </c>
      <c r="H211" s="83">
        <v>-245.74</v>
      </c>
      <c r="J211" s="86">
        <v>-245.74</v>
      </c>
      <c r="L211" s="50">
        <f t="shared" ref="L211:L218" si="14">H211-J211</f>
        <v>0</v>
      </c>
    </row>
    <row r="212" spans="1:12" x14ac:dyDescent="0.25">
      <c r="A212" t="s">
        <v>365</v>
      </c>
      <c r="B212" t="s">
        <v>366</v>
      </c>
      <c r="C212" s="50">
        <v>-120582.87</v>
      </c>
      <c r="D212" s="50">
        <v>-456010</v>
      </c>
      <c r="E212" s="50">
        <v>73.56</v>
      </c>
      <c r="F212" s="50">
        <v>26.44</v>
      </c>
      <c r="G212" s="50">
        <v>-335427.13</v>
      </c>
      <c r="H212" s="83">
        <v>-283562</v>
      </c>
      <c r="J212" s="86">
        <v>-294562</v>
      </c>
      <c r="L212" s="50">
        <f t="shared" si="14"/>
        <v>11000</v>
      </c>
    </row>
    <row r="213" spans="1:12" x14ac:dyDescent="0.25">
      <c r="A213" t="s">
        <v>367</v>
      </c>
      <c r="B213" t="s">
        <v>368</v>
      </c>
      <c r="C213" s="50">
        <v>-3697.24</v>
      </c>
      <c r="G213" s="50">
        <v>3697.24</v>
      </c>
      <c r="H213" s="83">
        <v>-3697.24</v>
      </c>
      <c r="J213" s="86">
        <v>-367.06</v>
      </c>
      <c r="L213" s="50">
        <f t="shared" si="14"/>
        <v>-3330.18</v>
      </c>
    </row>
    <row r="214" spans="1:12" x14ac:dyDescent="0.25">
      <c r="A214" t="s">
        <v>369</v>
      </c>
      <c r="B214" t="s">
        <v>370</v>
      </c>
      <c r="C214" s="50">
        <v>-7016.51</v>
      </c>
      <c r="D214" s="50">
        <v>-7227.84</v>
      </c>
      <c r="E214" s="50">
        <v>2.92</v>
      </c>
      <c r="F214" s="50">
        <v>97.08</v>
      </c>
      <c r="G214" s="50">
        <v>-211.33</v>
      </c>
      <c r="H214" s="83">
        <v>-13170.32</v>
      </c>
      <c r="J214" s="86">
        <v>-9765.15</v>
      </c>
      <c r="L214" s="50">
        <f t="shared" si="14"/>
        <v>-3405.17</v>
      </c>
    </row>
    <row r="215" spans="1:12" x14ac:dyDescent="0.25">
      <c r="A215" t="s">
        <v>371</v>
      </c>
      <c r="B215" t="s">
        <v>372</v>
      </c>
      <c r="H215" s="83">
        <v>0</v>
      </c>
      <c r="J215" s="86">
        <v>0</v>
      </c>
      <c r="L215" s="50">
        <f t="shared" si="14"/>
        <v>0</v>
      </c>
    </row>
    <row r="216" spans="1:12" x14ac:dyDescent="0.25">
      <c r="A216" t="s">
        <v>373</v>
      </c>
      <c r="B216" t="s">
        <v>374</v>
      </c>
      <c r="H216" s="83">
        <v>0</v>
      </c>
      <c r="J216" s="86">
        <v>0</v>
      </c>
      <c r="L216" s="50">
        <f t="shared" si="14"/>
        <v>0</v>
      </c>
    </row>
    <row r="217" spans="1:12" x14ac:dyDescent="0.25">
      <c r="A217" t="s">
        <v>375</v>
      </c>
      <c r="B217" t="s">
        <v>376</v>
      </c>
      <c r="C217" s="50">
        <v>-307.70999999999998</v>
      </c>
      <c r="G217" s="50">
        <v>307.70999999999998</v>
      </c>
      <c r="H217" s="83">
        <v>-307.70999999999998</v>
      </c>
      <c r="J217" s="86">
        <v>-307.70999999999998</v>
      </c>
      <c r="L217" s="50">
        <f t="shared" si="14"/>
        <v>0</v>
      </c>
    </row>
    <row r="218" spans="1:12" x14ac:dyDescent="0.25">
      <c r="A218" t="s">
        <v>377</v>
      </c>
      <c r="B218" t="s">
        <v>378</v>
      </c>
      <c r="C218" s="51">
        <v>-131604.32999999999</v>
      </c>
      <c r="D218" s="51">
        <v>-463483.58</v>
      </c>
      <c r="E218" s="51">
        <v>71.61</v>
      </c>
      <c r="F218" s="51">
        <v>28.39</v>
      </c>
      <c r="G218" s="51">
        <v>-331879.25</v>
      </c>
      <c r="H218" s="84">
        <v>-300983.01</v>
      </c>
      <c r="J218" s="87">
        <v>-305247.66000000003</v>
      </c>
      <c r="L218" s="51">
        <f t="shared" si="14"/>
        <v>4264.6500000000233</v>
      </c>
    </row>
    <row r="219" spans="1:12" x14ac:dyDescent="0.25">
      <c r="A219" t="s">
        <v>12</v>
      </c>
      <c r="B219" t="s">
        <v>12</v>
      </c>
      <c r="H219" s="83"/>
      <c r="J219" s="86"/>
    </row>
    <row r="220" spans="1:12" x14ac:dyDescent="0.25">
      <c r="A220" t="s">
        <v>379</v>
      </c>
      <c r="B220" t="s">
        <v>380</v>
      </c>
      <c r="C220" s="51"/>
      <c r="D220" s="51"/>
      <c r="E220" s="51"/>
      <c r="F220" s="51"/>
      <c r="G220" s="51"/>
      <c r="H220" s="84"/>
      <c r="J220" s="87"/>
      <c r="L220" s="51"/>
    </row>
    <row r="221" spans="1:12" x14ac:dyDescent="0.25">
      <c r="A221" t="s">
        <v>381</v>
      </c>
      <c r="B221" t="s">
        <v>380</v>
      </c>
      <c r="H221" s="83">
        <v>0</v>
      </c>
      <c r="J221" s="86">
        <v>0</v>
      </c>
      <c r="L221" s="50">
        <f t="shared" ref="L221:L222" si="15">H221-J221</f>
        <v>0</v>
      </c>
    </row>
    <row r="222" spans="1:12" x14ac:dyDescent="0.25">
      <c r="A222" t="s">
        <v>382</v>
      </c>
      <c r="B222" t="s">
        <v>383</v>
      </c>
      <c r="C222" s="51"/>
      <c r="D222" s="51"/>
      <c r="E222" s="51"/>
      <c r="F222" s="51"/>
      <c r="G222" s="51"/>
      <c r="H222" s="84">
        <v>0</v>
      </c>
      <c r="J222" s="87">
        <v>0</v>
      </c>
      <c r="L222" s="51">
        <f t="shared" si="15"/>
        <v>0</v>
      </c>
    </row>
    <row r="223" spans="1:12" x14ac:dyDescent="0.25">
      <c r="A223" t="s">
        <v>12</v>
      </c>
      <c r="B223" t="s">
        <v>12</v>
      </c>
      <c r="H223" s="83"/>
      <c r="J223" s="86"/>
    </row>
    <row r="224" spans="1:12" x14ac:dyDescent="0.25">
      <c r="A224" t="s">
        <v>384</v>
      </c>
      <c r="B224" t="s">
        <v>385</v>
      </c>
      <c r="C224" s="51"/>
      <c r="D224" s="51"/>
      <c r="E224" s="51"/>
      <c r="F224" s="51"/>
      <c r="G224" s="51"/>
      <c r="H224" s="84"/>
      <c r="J224" s="87"/>
      <c r="L224" s="51"/>
    </row>
    <row r="225" spans="1:12" x14ac:dyDescent="0.25">
      <c r="A225" t="s">
        <v>386</v>
      </c>
      <c r="B225" t="s">
        <v>385</v>
      </c>
      <c r="H225" s="83">
        <v>0</v>
      </c>
      <c r="J225" s="86">
        <v>0</v>
      </c>
      <c r="L225" s="50">
        <f t="shared" ref="L225:L226" si="16">H225-J225</f>
        <v>0</v>
      </c>
    </row>
    <row r="226" spans="1:12" x14ac:dyDescent="0.25">
      <c r="A226" t="s">
        <v>387</v>
      </c>
      <c r="B226" t="s">
        <v>388</v>
      </c>
      <c r="C226" s="51"/>
      <c r="D226" s="51"/>
      <c r="E226" s="51"/>
      <c r="F226" s="51"/>
      <c r="G226" s="51"/>
      <c r="H226" s="84">
        <v>0</v>
      </c>
      <c r="J226" s="87">
        <v>0</v>
      </c>
      <c r="L226" s="51">
        <f t="shared" si="16"/>
        <v>0</v>
      </c>
    </row>
    <row r="227" spans="1:12" x14ac:dyDescent="0.25">
      <c r="A227" t="s">
        <v>12</v>
      </c>
      <c r="B227" t="s">
        <v>12</v>
      </c>
      <c r="H227" s="83"/>
      <c r="J227" s="86"/>
    </row>
    <row r="228" spans="1:12" ht="15.75" thickBot="1" x14ac:dyDescent="0.3">
      <c r="A228" t="s">
        <v>389</v>
      </c>
      <c r="B228" t="s">
        <v>390</v>
      </c>
      <c r="C228" s="52">
        <v>8635017.6400000006</v>
      </c>
      <c r="D228" s="52">
        <v>-1120486.18</v>
      </c>
      <c r="E228" s="52">
        <v>870.65</v>
      </c>
      <c r="F228" s="52">
        <v>-770.65</v>
      </c>
      <c r="G228" s="52">
        <v>-9755503.8200000003</v>
      </c>
      <c r="H228" s="85">
        <v>-2851299.0100000016</v>
      </c>
      <c r="J228" s="88">
        <v>-242676.14606866241</v>
      </c>
      <c r="L228" s="52">
        <f>H228-J228</f>
        <v>-2608622.8639313392</v>
      </c>
    </row>
    <row r="229" spans="1:12" ht="15.75" thickTop="1" x14ac:dyDescent="0.25">
      <c r="A229" t="s">
        <v>12</v>
      </c>
      <c r="B229" t="s">
        <v>12</v>
      </c>
      <c r="H229" s="83"/>
      <c r="J229" s="86"/>
    </row>
    <row r="230" spans="1:12" x14ac:dyDescent="0.25">
      <c r="A230" t="s">
        <v>391</v>
      </c>
      <c r="B230" t="s">
        <v>392</v>
      </c>
      <c r="C230" s="51"/>
      <c r="D230" s="51"/>
      <c r="E230" s="51"/>
      <c r="F230" s="51"/>
      <c r="G230" s="51"/>
      <c r="H230" s="84"/>
      <c r="J230" s="87"/>
      <c r="L230" s="51"/>
    </row>
    <row r="231" spans="1:12" x14ac:dyDescent="0.25">
      <c r="A231" t="s">
        <v>393</v>
      </c>
      <c r="B231" t="s">
        <v>394</v>
      </c>
      <c r="H231" s="83">
        <v>0</v>
      </c>
      <c r="J231" s="86">
        <v>0</v>
      </c>
      <c r="L231" s="50">
        <f t="shared" ref="L231:L236" si="17">H231-J231</f>
        <v>0</v>
      </c>
    </row>
    <row r="232" spans="1:12" x14ac:dyDescent="0.25">
      <c r="A232" t="s">
        <v>395</v>
      </c>
      <c r="B232" t="s">
        <v>396</v>
      </c>
      <c r="H232" s="83">
        <v>0</v>
      </c>
      <c r="J232" s="86">
        <v>0</v>
      </c>
      <c r="L232" s="50">
        <f t="shared" si="17"/>
        <v>0</v>
      </c>
    </row>
    <row r="233" spans="1:12" x14ac:dyDescent="0.25">
      <c r="A233" t="s">
        <v>397</v>
      </c>
      <c r="B233" t="s">
        <v>398</v>
      </c>
      <c r="H233" s="83">
        <v>0</v>
      </c>
      <c r="J233" s="86">
        <v>0</v>
      </c>
      <c r="L233" s="50">
        <f t="shared" si="17"/>
        <v>0</v>
      </c>
    </row>
    <row r="234" spans="1:12" x14ac:dyDescent="0.25">
      <c r="A234" t="s">
        <v>399</v>
      </c>
      <c r="B234" t="s">
        <v>400</v>
      </c>
      <c r="C234" s="51"/>
      <c r="D234" s="51"/>
      <c r="E234" s="51"/>
      <c r="F234" s="51"/>
      <c r="G234" s="51"/>
      <c r="H234" s="84">
        <v>0</v>
      </c>
      <c r="J234" s="87">
        <v>0</v>
      </c>
      <c r="L234" s="51">
        <f t="shared" si="17"/>
        <v>0</v>
      </c>
    </row>
    <row r="235" spans="1:12" x14ac:dyDescent="0.25">
      <c r="A235" t="s">
        <v>12</v>
      </c>
      <c r="B235" t="s">
        <v>12</v>
      </c>
      <c r="H235" s="83">
        <v>0</v>
      </c>
      <c r="J235" s="86"/>
    </row>
    <row r="236" spans="1:12" ht="15.75" thickBot="1" x14ac:dyDescent="0.3">
      <c r="A236" t="s">
        <v>12</v>
      </c>
      <c r="B236" t="s">
        <v>46</v>
      </c>
      <c r="C236" s="52">
        <v>8635017.6400000006</v>
      </c>
      <c r="D236" s="52">
        <v>-1120486.18</v>
      </c>
      <c r="E236" s="52">
        <v>870.65</v>
      </c>
      <c r="F236" s="52">
        <v>-770.65</v>
      </c>
      <c r="G236" s="52">
        <v>-9755503.8200000003</v>
      </c>
      <c r="H236" s="85">
        <v>-2851299.0100000016</v>
      </c>
      <c r="J236" s="88">
        <v>-242676.14606866241</v>
      </c>
      <c r="L236" s="52">
        <f t="shared" si="17"/>
        <v>-2608622.8639313392</v>
      </c>
    </row>
    <row r="237" spans="1:12" ht="15.75" thickTop="1" x14ac:dyDescent="0.25">
      <c r="A237" t="s">
        <v>12</v>
      </c>
      <c r="B237" t="s">
        <v>12</v>
      </c>
      <c r="H237" s="83"/>
      <c r="J237" s="86"/>
    </row>
    <row r="238" spans="1:12" x14ac:dyDescent="0.25">
      <c r="A238" t="s">
        <v>401</v>
      </c>
      <c r="B238" t="s">
        <v>402</v>
      </c>
      <c r="H238" s="83">
        <v>0</v>
      </c>
      <c r="J238" s="86">
        <v>0</v>
      </c>
      <c r="L238" s="50">
        <f t="shared" ref="L238:L244" si="18">H238-J238</f>
        <v>0</v>
      </c>
    </row>
    <row r="239" spans="1:12" x14ac:dyDescent="0.25">
      <c r="A239" t="s">
        <v>403</v>
      </c>
      <c r="B239" t="s">
        <v>404</v>
      </c>
      <c r="C239" s="50">
        <v>85929.24</v>
      </c>
      <c r="G239" s="50">
        <v>-85929.24</v>
      </c>
      <c r="H239" s="83">
        <v>0</v>
      </c>
      <c r="J239" s="86">
        <v>0</v>
      </c>
      <c r="L239" s="50">
        <f t="shared" si="18"/>
        <v>0</v>
      </c>
    </row>
    <row r="240" spans="1:12" x14ac:dyDescent="0.25">
      <c r="A240" t="s">
        <v>405</v>
      </c>
      <c r="B240" t="s">
        <v>406</v>
      </c>
      <c r="C240" s="50">
        <v>-1619347.55</v>
      </c>
      <c r="D240" s="50">
        <v>-3644077.35</v>
      </c>
      <c r="E240" s="50">
        <v>55.56</v>
      </c>
      <c r="F240" s="50">
        <v>44.44</v>
      </c>
      <c r="G240" s="50">
        <v>-2024729.8</v>
      </c>
      <c r="H240" s="83">
        <v>-3146560.6999999997</v>
      </c>
      <c r="J240" s="86">
        <v>-3107462.06</v>
      </c>
      <c r="L240" s="50">
        <f t="shared" si="18"/>
        <v>-39098.639999999665</v>
      </c>
    </row>
    <row r="241" spans="1:12" x14ac:dyDescent="0.25">
      <c r="A241" t="s">
        <v>407</v>
      </c>
      <c r="B241" t="s">
        <v>408</v>
      </c>
      <c r="H241" s="83">
        <v>0</v>
      </c>
      <c r="J241" s="86">
        <v>0</v>
      </c>
      <c r="L241" s="50">
        <f t="shared" si="18"/>
        <v>0</v>
      </c>
    </row>
    <row r="242" spans="1:12" x14ac:dyDescent="0.25">
      <c r="A242" t="s">
        <v>409</v>
      </c>
      <c r="B242" t="s">
        <v>410</v>
      </c>
      <c r="C242" s="51">
        <v>-1533418.31</v>
      </c>
      <c r="D242" s="51">
        <v>-3644077.35</v>
      </c>
      <c r="E242" s="51">
        <v>57.92</v>
      </c>
      <c r="F242" s="51">
        <v>42.08</v>
      </c>
      <c r="G242" s="51">
        <v>-2110659.04</v>
      </c>
      <c r="H242" s="84">
        <v>-3146560.6999999997</v>
      </c>
      <c r="J242" s="87">
        <v>-3107462.06</v>
      </c>
      <c r="L242" s="51">
        <f t="shared" si="18"/>
        <v>-39098.639999999665</v>
      </c>
    </row>
    <row r="243" spans="1:12" x14ac:dyDescent="0.25">
      <c r="A243" t="s">
        <v>12</v>
      </c>
      <c r="B243" t="s">
        <v>12</v>
      </c>
      <c r="H243" s="83"/>
      <c r="J243" s="86"/>
    </row>
    <row r="244" spans="1:12" ht="15.75" thickBot="1" x14ac:dyDescent="0.3">
      <c r="A244" t="s">
        <v>411</v>
      </c>
      <c r="B244" t="s">
        <v>49</v>
      </c>
      <c r="C244" s="52">
        <v>7101599.3300000001</v>
      </c>
      <c r="D244" s="52">
        <v>-4764563.53</v>
      </c>
      <c r="E244" s="52">
        <v>249.05</v>
      </c>
      <c r="F244" s="52">
        <v>-149.05000000000001</v>
      </c>
      <c r="G244" s="52">
        <v>-11866162.859999999</v>
      </c>
      <c r="H244" s="85">
        <v>-5997859.7100000009</v>
      </c>
      <c r="J244" s="88">
        <v>-3350138.2060686611</v>
      </c>
      <c r="L244" s="52">
        <f t="shared" si="18"/>
        <v>-2647721.5039313398</v>
      </c>
    </row>
    <row r="245" spans="1:12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6"/>
  <sheetViews>
    <sheetView topLeftCell="A17" workbookViewId="0">
      <selection activeCell="H17" sqref="H17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3" width="12.85546875" style="75" bestFit="1" customWidth="1"/>
    <col min="4" max="4" width="13.28515625" style="75" bestFit="1" customWidth="1"/>
    <col min="5" max="5" width="10.28515625" style="75" bestFit="1" customWidth="1"/>
    <col min="6" max="6" width="19.42578125" style="75" bestFit="1" customWidth="1"/>
    <col min="7" max="7" width="13.28515625" style="75" bestFit="1" customWidth="1"/>
    <col min="8" max="8" width="13.28515625" style="56" bestFit="1" customWidth="1"/>
  </cols>
  <sheetData>
    <row r="1" spans="1:8" x14ac:dyDescent="0.25">
      <c r="A1" s="16" t="s">
        <v>0</v>
      </c>
      <c r="B1" s="15"/>
    </row>
    <row r="2" spans="1:8" x14ac:dyDescent="0.25">
      <c r="A2" s="17" t="s">
        <v>1</v>
      </c>
      <c r="B2" s="17" t="s">
        <v>2</v>
      </c>
    </row>
    <row r="3" spans="1:8" x14ac:dyDescent="0.25">
      <c r="A3" s="17" t="s">
        <v>3</v>
      </c>
      <c r="B3" s="17" t="s">
        <v>4</v>
      </c>
    </row>
    <row r="4" spans="1:8" x14ac:dyDescent="0.25">
      <c r="A4" s="17" t="s">
        <v>412</v>
      </c>
      <c r="B4" s="17" t="s">
        <v>414</v>
      </c>
    </row>
    <row r="6" spans="1:8" x14ac:dyDescent="0.25">
      <c r="A6" s="17" t="s">
        <v>5</v>
      </c>
      <c r="B6" s="17" t="s">
        <v>6</v>
      </c>
    </row>
    <row r="8" spans="1:8" x14ac:dyDescent="0.25">
      <c r="A8" s="15"/>
      <c r="B8" s="15"/>
      <c r="C8" s="75" t="s">
        <v>7</v>
      </c>
      <c r="D8" s="75" t="s">
        <v>8</v>
      </c>
      <c r="E8" s="75" t="s">
        <v>9</v>
      </c>
      <c r="F8" s="75" t="s">
        <v>10</v>
      </c>
      <c r="G8" s="75" t="s">
        <v>11</v>
      </c>
      <c r="H8" s="56" t="s">
        <v>428</v>
      </c>
    </row>
    <row r="9" spans="1:8" x14ac:dyDescent="0.25">
      <c r="A9" s="18" t="s">
        <v>12</v>
      </c>
      <c r="B9" s="18" t="s">
        <v>13</v>
      </c>
      <c r="C9" s="76"/>
      <c r="D9" s="76"/>
      <c r="E9" s="76"/>
      <c r="F9" s="76"/>
      <c r="G9" s="76"/>
      <c r="H9" s="73"/>
    </row>
    <row r="10" spans="1:8" x14ac:dyDescent="0.25">
      <c r="A10" s="17" t="s">
        <v>12</v>
      </c>
      <c r="B10" s="17" t="s">
        <v>12</v>
      </c>
    </row>
    <row r="11" spans="1:8" x14ac:dyDescent="0.25">
      <c r="A11" s="17" t="s">
        <v>14</v>
      </c>
      <c r="B11" s="17" t="s">
        <v>15</v>
      </c>
      <c r="C11" s="75">
        <v>1113425</v>
      </c>
      <c r="D11" s="75">
        <v>12806116</v>
      </c>
      <c r="E11" s="75">
        <v>91.31</v>
      </c>
      <c r="F11" s="75">
        <v>8.69</v>
      </c>
      <c r="G11" s="75">
        <v>11692691</v>
      </c>
      <c r="H11" s="56">
        <f>H46</f>
        <v>2226850</v>
      </c>
    </row>
    <row r="12" spans="1:8" x14ac:dyDescent="0.25">
      <c r="A12" s="17" t="s">
        <v>16</v>
      </c>
      <c r="B12" s="17" t="s">
        <v>17</v>
      </c>
      <c r="C12" s="75">
        <v>13148</v>
      </c>
      <c r="G12" s="75">
        <v>-13148</v>
      </c>
      <c r="H12" s="56">
        <f>H59</f>
        <v>13398</v>
      </c>
    </row>
    <row r="13" spans="1:8" x14ac:dyDescent="0.25">
      <c r="A13" s="17" t="s">
        <v>18</v>
      </c>
      <c r="B13" s="17" t="s">
        <v>19</v>
      </c>
      <c r="C13" s="75">
        <v>4644.5</v>
      </c>
      <c r="G13" s="75">
        <v>-4644.5</v>
      </c>
      <c r="H13" s="56">
        <f>H63</f>
        <v>4644.5</v>
      </c>
    </row>
    <row r="14" spans="1:8" x14ac:dyDescent="0.25">
      <c r="A14" s="18" t="s">
        <v>20</v>
      </c>
      <c r="B14" s="18" t="s">
        <v>21</v>
      </c>
      <c r="C14" s="76">
        <v>1131217.5</v>
      </c>
      <c r="D14" s="76">
        <v>12806116</v>
      </c>
      <c r="E14" s="76">
        <v>91.17</v>
      </c>
      <c r="F14" s="76">
        <v>8.83</v>
      </c>
      <c r="G14" s="76">
        <v>11674898.5</v>
      </c>
      <c r="H14" s="73">
        <f>SUM(H11:H13)</f>
        <v>2244892.5</v>
      </c>
    </row>
    <row r="15" spans="1:8" x14ac:dyDescent="0.25">
      <c r="A15" s="17" t="s">
        <v>12</v>
      </c>
      <c r="B15" s="17" t="s">
        <v>12</v>
      </c>
    </row>
    <row r="16" spans="1:8" x14ac:dyDescent="0.25">
      <c r="A16" s="18" t="s">
        <v>12</v>
      </c>
      <c r="B16" s="18" t="s">
        <v>22</v>
      </c>
      <c r="C16" s="76"/>
      <c r="D16" s="76"/>
      <c r="E16" s="76"/>
      <c r="F16" s="76"/>
      <c r="G16" s="76"/>
      <c r="H16" s="73"/>
    </row>
    <row r="17" spans="1:8" x14ac:dyDescent="0.25">
      <c r="A17" s="17" t="s">
        <v>23</v>
      </c>
      <c r="B17" s="17" t="s">
        <v>24</v>
      </c>
    </row>
    <row r="18" spans="1:8" x14ac:dyDescent="0.25">
      <c r="A18" s="17" t="s">
        <v>25</v>
      </c>
      <c r="B18" s="17" t="s">
        <v>26</v>
      </c>
      <c r="C18" s="75">
        <v>-11383.84</v>
      </c>
      <c r="D18" s="75">
        <v>-378200</v>
      </c>
      <c r="E18" s="75">
        <v>96.99</v>
      </c>
      <c r="F18" s="75">
        <v>3.01</v>
      </c>
      <c r="G18" s="75">
        <v>-366816.16</v>
      </c>
      <c r="H18" s="56">
        <f>H77</f>
        <v>-11383.84</v>
      </c>
    </row>
    <row r="19" spans="1:8" x14ac:dyDescent="0.25">
      <c r="A19" s="17" t="s">
        <v>27</v>
      </c>
      <c r="B19" s="17" t="s">
        <v>28</v>
      </c>
    </row>
    <row r="20" spans="1:8" x14ac:dyDescent="0.25">
      <c r="A20" s="17" t="s">
        <v>12</v>
      </c>
      <c r="B20" s="17" t="s">
        <v>12</v>
      </c>
    </row>
    <row r="21" spans="1:8" x14ac:dyDescent="0.25">
      <c r="A21" s="17" t="s">
        <v>29</v>
      </c>
      <c r="B21" s="17" t="s">
        <v>30</v>
      </c>
      <c r="C21" s="75">
        <v>-2651056.3199999998</v>
      </c>
      <c r="D21" s="75">
        <v>-7155613.6399999997</v>
      </c>
      <c r="E21" s="75">
        <v>62.95</v>
      </c>
      <c r="F21" s="75">
        <v>37.049999999999997</v>
      </c>
      <c r="G21" s="75">
        <v>-4504557.32</v>
      </c>
      <c r="H21" s="56">
        <f>H123</f>
        <v>-6242881.2000000011</v>
      </c>
    </row>
    <row r="22" spans="1:8" x14ac:dyDescent="0.25">
      <c r="A22" s="18" t="s">
        <v>31</v>
      </c>
      <c r="B22" s="18" t="s">
        <v>32</v>
      </c>
      <c r="C22" s="76">
        <v>-2662440.16</v>
      </c>
      <c r="D22" s="76">
        <v>-7533813.6399999997</v>
      </c>
      <c r="E22" s="76">
        <v>64.66</v>
      </c>
      <c r="F22" s="76">
        <v>35.340000000000003</v>
      </c>
      <c r="G22" s="76">
        <v>-4871373.4800000004</v>
      </c>
      <c r="H22" s="73">
        <f>H21</f>
        <v>-6242881.2000000011</v>
      </c>
    </row>
    <row r="23" spans="1:8" x14ac:dyDescent="0.25">
      <c r="A23" s="17" t="s">
        <v>12</v>
      </c>
      <c r="B23" s="17" t="s">
        <v>12</v>
      </c>
    </row>
    <row r="24" spans="1:8" x14ac:dyDescent="0.25">
      <c r="A24" s="17" t="s">
        <v>33</v>
      </c>
      <c r="B24" s="17" t="s">
        <v>34</v>
      </c>
      <c r="C24" s="75">
        <v>1080493.52</v>
      </c>
      <c r="D24" s="75">
        <v>125464.36</v>
      </c>
      <c r="E24" s="75">
        <v>-761.2</v>
      </c>
      <c r="F24" s="75">
        <v>861.2</v>
      </c>
      <c r="G24" s="75">
        <v>-955029.16</v>
      </c>
      <c r="H24" s="56">
        <f>H136</f>
        <v>1109108.25</v>
      </c>
    </row>
    <row r="25" spans="1:8" x14ac:dyDescent="0.25">
      <c r="A25" s="17" t="s">
        <v>35</v>
      </c>
      <c r="B25" s="17" t="s">
        <v>36</v>
      </c>
      <c r="C25" s="75">
        <v>454043.64</v>
      </c>
      <c r="D25" s="75">
        <v>-5390293.1399999997</v>
      </c>
      <c r="E25" s="75">
        <v>108.42</v>
      </c>
      <c r="F25" s="75">
        <v>-8.42</v>
      </c>
      <c r="G25" s="75">
        <v>-5844336.7800000003</v>
      </c>
      <c r="H25" s="56">
        <f>H198</f>
        <v>2910951.8299999977</v>
      </c>
    </row>
    <row r="26" spans="1:8" x14ac:dyDescent="0.25">
      <c r="A26" s="17" t="s">
        <v>37</v>
      </c>
      <c r="B26" s="17" t="s">
        <v>38</v>
      </c>
      <c r="C26" s="75">
        <v>418.28</v>
      </c>
      <c r="G26" s="75">
        <v>-418.28</v>
      </c>
      <c r="H26" s="56">
        <f>H209</f>
        <v>418.28</v>
      </c>
    </row>
    <row r="27" spans="1:8" x14ac:dyDescent="0.25">
      <c r="A27" s="17" t="s">
        <v>39</v>
      </c>
      <c r="B27" s="17" t="s">
        <v>40</v>
      </c>
      <c r="C27" s="75">
        <v>-3732.78</v>
      </c>
      <c r="D27" s="75">
        <v>-7473.58</v>
      </c>
      <c r="E27" s="75">
        <v>50.05</v>
      </c>
      <c r="F27" s="75">
        <v>49.95</v>
      </c>
      <c r="G27" s="75">
        <v>-3740.8</v>
      </c>
      <c r="H27" s="56">
        <f>H219</f>
        <v>-11105.82</v>
      </c>
    </row>
    <row r="28" spans="1:8" x14ac:dyDescent="0.25">
      <c r="A28" s="17" t="s">
        <v>41</v>
      </c>
      <c r="B28" s="17" t="s">
        <v>42</v>
      </c>
      <c r="H28" s="56">
        <f>H223</f>
        <v>0</v>
      </c>
    </row>
    <row r="29" spans="1:8" x14ac:dyDescent="0.25">
      <c r="A29" s="17" t="s">
        <v>43</v>
      </c>
      <c r="B29" s="17" t="s">
        <v>44</v>
      </c>
      <c r="H29" s="56">
        <f>H227</f>
        <v>0</v>
      </c>
    </row>
    <row r="30" spans="1:8" x14ac:dyDescent="0.25">
      <c r="A30" s="17" t="s">
        <v>12</v>
      </c>
      <c r="B30" s="17" t="s">
        <v>12</v>
      </c>
    </row>
    <row r="31" spans="1:8" ht="15.75" thickBot="1" x14ac:dyDescent="0.3">
      <c r="A31" s="19" t="s">
        <v>45</v>
      </c>
      <c r="B31" s="19" t="s">
        <v>46</v>
      </c>
      <c r="C31" s="77"/>
      <c r="D31" s="77"/>
      <c r="E31" s="77"/>
      <c r="F31" s="77"/>
      <c r="G31" s="77"/>
      <c r="H31" s="74">
        <f>H14+H18+H22+H24+H25+H26+H27</f>
        <v>-3.2214302336797118E-9</v>
      </c>
    </row>
    <row r="32" spans="1:8" ht="15.75" thickTop="1" x14ac:dyDescent="0.25">
      <c r="A32" s="17" t="s">
        <v>12</v>
      </c>
      <c r="B32" s="17" t="s">
        <v>12</v>
      </c>
    </row>
    <row r="33" spans="1:8" x14ac:dyDescent="0.25">
      <c r="A33" s="17" t="s">
        <v>47</v>
      </c>
      <c r="B33" s="17" t="s">
        <v>48</v>
      </c>
      <c r="H33" s="56">
        <f>H243</f>
        <v>0</v>
      </c>
    </row>
    <row r="34" spans="1:8" x14ac:dyDescent="0.25">
      <c r="A34" s="17" t="s">
        <v>12</v>
      </c>
      <c r="B34" s="17" t="s">
        <v>12</v>
      </c>
    </row>
    <row r="35" spans="1:8" ht="15.75" thickBot="1" x14ac:dyDescent="0.3">
      <c r="A35" s="19" t="s">
        <v>12</v>
      </c>
      <c r="B35" s="19" t="s">
        <v>49</v>
      </c>
      <c r="C35" s="77"/>
      <c r="D35" s="77"/>
      <c r="E35" s="77"/>
      <c r="F35" s="77"/>
      <c r="G35" s="77"/>
      <c r="H35" s="74">
        <f>H31+H33</f>
        <v>-3.2214302336797118E-9</v>
      </c>
    </row>
    <row r="36" spans="1:8" ht="15.75" thickTop="1" x14ac:dyDescent="0.25">
      <c r="A36" s="17" t="s">
        <v>12</v>
      </c>
      <c r="B36" s="17" t="s">
        <v>12</v>
      </c>
    </row>
    <row r="37" spans="1:8" x14ac:dyDescent="0.25">
      <c r="A37" s="18" t="s">
        <v>12</v>
      </c>
      <c r="B37" s="18" t="s">
        <v>50</v>
      </c>
      <c r="C37" s="76"/>
      <c r="D37" s="76"/>
      <c r="E37" s="76"/>
      <c r="F37" s="76"/>
      <c r="G37" s="76"/>
      <c r="H37" s="73"/>
    </row>
    <row r="38" spans="1:8" x14ac:dyDescent="0.25">
      <c r="A38" s="17" t="s">
        <v>12</v>
      </c>
      <c r="B38" s="17" t="s">
        <v>12</v>
      </c>
    </row>
    <row r="39" spans="1:8" x14ac:dyDescent="0.25">
      <c r="A39" s="18" t="s">
        <v>51</v>
      </c>
      <c r="B39" s="18" t="s">
        <v>52</v>
      </c>
      <c r="C39" s="76"/>
      <c r="D39" s="76"/>
      <c r="E39" s="76"/>
      <c r="F39" s="76"/>
      <c r="G39" s="76"/>
      <c r="H39" s="73"/>
    </row>
    <row r="40" spans="1:8" x14ac:dyDescent="0.25">
      <c r="A40" s="17" t="s">
        <v>53</v>
      </c>
      <c r="B40" s="17" t="s">
        <v>54</v>
      </c>
      <c r="H40" s="72"/>
    </row>
    <row r="41" spans="1:8" x14ac:dyDescent="0.25">
      <c r="A41" s="17" t="s">
        <v>55</v>
      </c>
      <c r="B41" s="17" t="s">
        <v>56</v>
      </c>
    </row>
    <row r="42" spans="1:8" x14ac:dyDescent="0.25">
      <c r="A42" s="17" t="s">
        <v>57</v>
      </c>
      <c r="B42" s="17" t="s">
        <v>58</v>
      </c>
    </row>
    <row r="43" spans="1:8" x14ac:dyDescent="0.25">
      <c r="A43" s="17" t="s">
        <v>59</v>
      </c>
      <c r="B43" s="17" t="s">
        <v>60</v>
      </c>
    </row>
    <row r="44" spans="1:8" x14ac:dyDescent="0.25">
      <c r="A44" s="17" t="s">
        <v>61</v>
      </c>
      <c r="B44" s="17" t="s">
        <v>62</v>
      </c>
      <c r="C44" s="75">
        <v>1113425</v>
      </c>
      <c r="D44" s="75">
        <v>2226850</v>
      </c>
      <c r="E44" s="75">
        <v>50</v>
      </c>
      <c r="F44" s="75">
        <v>50</v>
      </c>
      <c r="G44" s="75">
        <v>1113425</v>
      </c>
      <c r="H44" s="56">
        <f>C44*2</f>
        <v>2226850</v>
      </c>
    </row>
    <row r="45" spans="1:8" x14ac:dyDescent="0.25">
      <c r="A45" s="17" t="s">
        <v>63</v>
      </c>
      <c r="B45" s="17" t="s">
        <v>64</v>
      </c>
      <c r="D45" s="75">
        <v>10579266</v>
      </c>
      <c r="E45" s="75">
        <v>100</v>
      </c>
      <c r="G45" s="75">
        <v>10579266</v>
      </c>
      <c r="H45" s="56">
        <v>0</v>
      </c>
    </row>
    <row r="46" spans="1:8" x14ac:dyDescent="0.25">
      <c r="A46" s="18" t="s">
        <v>65</v>
      </c>
      <c r="B46" s="18" t="s">
        <v>66</v>
      </c>
      <c r="C46" s="76">
        <v>1113425</v>
      </c>
      <c r="D46" s="76">
        <v>12806116</v>
      </c>
      <c r="E46" s="76">
        <v>91.31</v>
      </c>
      <c r="F46" s="76">
        <v>8.69</v>
      </c>
      <c r="G46" s="76">
        <v>11692691</v>
      </c>
      <c r="H46" s="73">
        <f>SUM(H40:H45)</f>
        <v>2226850</v>
      </c>
    </row>
    <row r="47" spans="1:8" x14ac:dyDescent="0.25">
      <c r="A47" s="17" t="s">
        <v>12</v>
      </c>
      <c r="B47" s="17" t="s">
        <v>12</v>
      </c>
    </row>
    <row r="48" spans="1:8" x14ac:dyDescent="0.25">
      <c r="A48" s="18" t="s">
        <v>67</v>
      </c>
      <c r="B48" s="18" t="s">
        <v>68</v>
      </c>
      <c r="C48" s="76"/>
      <c r="D48" s="76"/>
      <c r="E48" s="76"/>
      <c r="F48" s="76"/>
      <c r="G48" s="76"/>
      <c r="H48" s="73"/>
    </row>
    <row r="49" spans="1:8" x14ac:dyDescent="0.25">
      <c r="A49" s="17" t="s">
        <v>69</v>
      </c>
      <c r="B49" s="17" t="s">
        <v>70</v>
      </c>
    </row>
    <row r="50" spans="1:8" x14ac:dyDescent="0.25">
      <c r="A50" s="17" t="s">
        <v>71</v>
      </c>
      <c r="B50" s="17" t="s">
        <v>72</v>
      </c>
    </row>
    <row r="51" spans="1:8" x14ac:dyDescent="0.25">
      <c r="A51" s="17" t="s">
        <v>73</v>
      </c>
      <c r="B51" s="17" t="s">
        <v>74</v>
      </c>
    </row>
    <row r="52" spans="1:8" x14ac:dyDescent="0.25">
      <c r="A52" s="17" t="s">
        <v>75</v>
      </c>
      <c r="B52" s="17" t="s">
        <v>76</v>
      </c>
    </row>
    <row r="53" spans="1:8" x14ac:dyDescent="0.25">
      <c r="A53" s="17" t="s">
        <v>77</v>
      </c>
      <c r="B53" s="17" t="s">
        <v>78</v>
      </c>
    </row>
    <row r="54" spans="1:8" x14ac:dyDescent="0.25">
      <c r="A54" s="17" t="s">
        <v>79</v>
      </c>
      <c r="B54" s="17" t="s">
        <v>80</v>
      </c>
    </row>
    <row r="55" spans="1:8" x14ac:dyDescent="0.25">
      <c r="A55" s="17" t="s">
        <v>81</v>
      </c>
      <c r="B55" s="17" t="s">
        <v>82</v>
      </c>
      <c r="C55" s="75">
        <v>3198</v>
      </c>
      <c r="G55" s="75">
        <v>-3198</v>
      </c>
      <c r="H55" s="56">
        <v>3198</v>
      </c>
    </row>
    <row r="56" spans="1:8" x14ac:dyDescent="0.25">
      <c r="A56" s="17" t="s">
        <v>83</v>
      </c>
      <c r="B56" s="17" t="s">
        <v>84</v>
      </c>
      <c r="C56" s="75">
        <v>3600</v>
      </c>
      <c r="G56" s="75">
        <v>-3600</v>
      </c>
      <c r="H56" s="56">
        <f>C56</f>
        <v>3600</v>
      </c>
    </row>
    <row r="57" spans="1:8" x14ac:dyDescent="0.25">
      <c r="A57" s="17" t="s">
        <v>85</v>
      </c>
      <c r="B57" s="17" t="s">
        <v>86</v>
      </c>
      <c r="C57" s="75">
        <v>6350</v>
      </c>
      <c r="G57" s="75">
        <v>-6350</v>
      </c>
      <c r="H57" s="56">
        <v>6600</v>
      </c>
    </row>
    <row r="58" spans="1:8" x14ac:dyDescent="0.25">
      <c r="A58" s="17" t="s">
        <v>87</v>
      </c>
      <c r="B58" s="17" t="s">
        <v>88</v>
      </c>
    </row>
    <row r="59" spans="1:8" x14ac:dyDescent="0.25">
      <c r="A59" s="18" t="s">
        <v>89</v>
      </c>
      <c r="B59" s="18" t="s">
        <v>17</v>
      </c>
      <c r="C59" s="76">
        <v>13148</v>
      </c>
      <c r="D59" s="76"/>
      <c r="E59" s="76"/>
      <c r="F59" s="76"/>
      <c r="G59" s="76">
        <v>-13148</v>
      </c>
      <c r="H59" s="73">
        <f>SUM(H49:H58)</f>
        <v>13398</v>
      </c>
    </row>
    <row r="60" spans="1:8" x14ac:dyDescent="0.25">
      <c r="A60" s="17" t="s">
        <v>12</v>
      </c>
      <c r="B60" s="17" t="s">
        <v>12</v>
      </c>
    </row>
    <row r="61" spans="1:8" x14ac:dyDescent="0.25">
      <c r="A61" s="18" t="s">
        <v>90</v>
      </c>
      <c r="B61" s="18" t="s">
        <v>91</v>
      </c>
      <c r="C61" s="76"/>
      <c r="D61" s="76"/>
      <c r="E61" s="76"/>
      <c r="F61" s="76"/>
      <c r="G61" s="76"/>
      <c r="H61" s="73"/>
    </row>
    <row r="62" spans="1:8" x14ac:dyDescent="0.25">
      <c r="A62" s="17" t="s">
        <v>92</v>
      </c>
      <c r="B62" s="17" t="s">
        <v>93</v>
      </c>
      <c r="C62" s="75">
        <v>4644.5</v>
      </c>
      <c r="G62" s="75">
        <v>-4644.5</v>
      </c>
      <c r="H62" s="56">
        <v>4644.5</v>
      </c>
    </row>
    <row r="63" spans="1:8" x14ac:dyDescent="0.25">
      <c r="A63" s="18" t="s">
        <v>94</v>
      </c>
      <c r="B63" s="18" t="s">
        <v>95</v>
      </c>
      <c r="C63" s="76">
        <v>4644.5</v>
      </c>
      <c r="D63" s="76"/>
      <c r="E63" s="76"/>
      <c r="F63" s="76"/>
      <c r="G63" s="76">
        <v>-4644.5</v>
      </c>
      <c r="H63" s="73">
        <f>H62</f>
        <v>4644.5</v>
      </c>
    </row>
    <row r="64" spans="1:8" x14ac:dyDescent="0.25">
      <c r="A64" s="17" t="s">
        <v>12</v>
      </c>
      <c r="B64" s="17" t="s">
        <v>12</v>
      </c>
    </row>
    <row r="65" spans="1:8" x14ac:dyDescent="0.25">
      <c r="A65" s="18" t="s">
        <v>96</v>
      </c>
      <c r="B65" s="18" t="s">
        <v>97</v>
      </c>
      <c r="C65" s="76">
        <v>1131217.5</v>
      </c>
      <c r="D65" s="76">
        <v>12806116</v>
      </c>
      <c r="E65" s="76">
        <v>91.17</v>
      </c>
      <c r="F65" s="76">
        <v>8.83</v>
      </c>
      <c r="G65" s="76">
        <v>11674898.5</v>
      </c>
      <c r="H65" s="73">
        <f>H46+H59+H63</f>
        <v>2244892.5</v>
      </c>
    </row>
    <row r="66" spans="1:8" x14ac:dyDescent="0.25">
      <c r="A66" s="17" t="s">
        <v>12</v>
      </c>
      <c r="B66" s="17" t="s">
        <v>12</v>
      </c>
    </row>
    <row r="67" spans="1:8" x14ac:dyDescent="0.25">
      <c r="A67" s="18" t="s">
        <v>98</v>
      </c>
      <c r="B67" s="18" t="s">
        <v>99</v>
      </c>
      <c r="C67" s="76"/>
      <c r="D67" s="76"/>
      <c r="E67" s="76"/>
      <c r="F67" s="76"/>
      <c r="G67" s="76"/>
      <c r="H67" s="73"/>
    </row>
    <row r="68" spans="1:8" x14ac:dyDescent="0.25">
      <c r="A68" s="17" t="s">
        <v>100</v>
      </c>
      <c r="B68" s="17" t="s">
        <v>101</v>
      </c>
    </row>
    <row r="69" spans="1:8" x14ac:dyDescent="0.25">
      <c r="A69" s="17" t="s">
        <v>102</v>
      </c>
      <c r="B69" s="17" t="s">
        <v>103</v>
      </c>
    </row>
    <row r="70" spans="1:8" x14ac:dyDescent="0.25">
      <c r="A70" s="18" t="s">
        <v>104</v>
      </c>
      <c r="B70" s="18" t="s">
        <v>105</v>
      </c>
      <c r="C70" s="76"/>
      <c r="D70" s="76"/>
      <c r="E70" s="76"/>
      <c r="F70" s="76"/>
      <c r="G70" s="76"/>
      <c r="H70" s="73"/>
    </row>
    <row r="71" spans="1:8" x14ac:dyDescent="0.25">
      <c r="A71" s="17" t="s">
        <v>12</v>
      </c>
      <c r="B71" s="17" t="s">
        <v>12</v>
      </c>
    </row>
    <row r="72" spans="1:8" x14ac:dyDescent="0.25">
      <c r="A72" s="18" t="s">
        <v>106</v>
      </c>
      <c r="B72" s="18" t="s">
        <v>107</v>
      </c>
      <c r="C72" s="76"/>
      <c r="D72" s="76"/>
      <c r="E72" s="76"/>
      <c r="F72" s="76"/>
      <c r="G72" s="76"/>
      <c r="H72" s="73"/>
    </row>
    <row r="73" spans="1:8" x14ac:dyDescent="0.25">
      <c r="A73" s="17" t="s">
        <v>108</v>
      </c>
      <c r="B73" s="17" t="s">
        <v>109</v>
      </c>
      <c r="D73" s="75">
        <v>-378200</v>
      </c>
      <c r="E73" s="75">
        <v>100</v>
      </c>
      <c r="G73" s="75">
        <v>-378200</v>
      </c>
    </row>
    <row r="74" spans="1:8" x14ac:dyDescent="0.25">
      <c r="A74" s="17" t="s">
        <v>110</v>
      </c>
      <c r="B74" s="17" t="s">
        <v>111</v>
      </c>
    </row>
    <row r="75" spans="1:8" x14ac:dyDescent="0.25">
      <c r="A75" s="17" t="s">
        <v>112</v>
      </c>
      <c r="B75" s="17" t="s">
        <v>113</v>
      </c>
    </row>
    <row r="76" spans="1:8" x14ac:dyDescent="0.25">
      <c r="A76" s="17" t="s">
        <v>114</v>
      </c>
      <c r="B76" s="17" t="s">
        <v>115</v>
      </c>
      <c r="C76" s="75">
        <v>-11383.84</v>
      </c>
      <c r="G76" s="75">
        <v>11383.84</v>
      </c>
      <c r="H76" s="56">
        <f>C76</f>
        <v>-11383.84</v>
      </c>
    </row>
    <row r="77" spans="1:8" x14ac:dyDescent="0.25">
      <c r="A77" s="18" t="s">
        <v>116</v>
      </c>
      <c r="B77" s="18" t="s">
        <v>117</v>
      </c>
      <c r="C77" s="76">
        <v>-11383.84</v>
      </c>
      <c r="D77" s="76">
        <v>-378200</v>
      </c>
      <c r="E77" s="76">
        <v>96.99</v>
      </c>
      <c r="F77" s="76">
        <v>3.01</v>
      </c>
      <c r="G77" s="76">
        <v>-366816.16</v>
      </c>
      <c r="H77" s="73">
        <f>SUM(H73:H76)</f>
        <v>-11383.84</v>
      </c>
    </row>
    <row r="78" spans="1:8" x14ac:dyDescent="0.25">
      <c r="A78" s="17" t="s">
        <v>12</v>
      </c>
      <c r="B78" s="17" t="s">
        <v>12</v>
      </c>
    </row>
    <row r="79" spans="1:8" x14ac:dyDescent="0.25">
      <c r="A79" s="18" t="s">
        <v>118</v>
      </c>
      <c r="B79" s="18" t="s">
        <v>119</v>
      </c>
      <c r="C79" s="76"/>
      <c r="D79" s="76"/>
      <c r="E79" s="76"/>
      <c r="F79" s="76"/>
      <c r="G79" s="76"/>
      <c r="H79" s="73"/>
    </row>
    <row r="80" spans="1:8" x14ac:dyDescent="0.25">
      <c r="A80" s="17" t="s">
        <v>120</v>
      </c>
      <c r="B80" s="17" t="s">
        <v>121</v>
      </c>
    </row>
    <row r="81" spans="1:8" x14ac:dyDescent="0.25">
      <c r="A81" s="17" t="s">
        <v>122</v>
      </c>
      <c r="B81" s="17" t="s">
        <v>123</v>
      </c>
    </row>
    <row r="82" spans="1:8" x14ac:dyDescent="0.25">
      <c r="A82" s="18" t="s">
        <v>124</v>
      </c>
      <c r="B82" s="18" t="s">
        <v>125</v>
      </c>
      <c r="C82" s="76"/>
      <c r="D82" s="76"/>
      <c r="E82" s="76"/>
      <c r="F82" s="76"/>
      <c r="G82" s="76"/>
      <c r="H82" s="73"/>
    </row>
    <row r="83" spans="1:8" x14ac:dyDescent="0.25">
      <c r="A83" s="17" t="s">
        <v>12</v>
      </c>
      <c r="B83" s="17" t="s">
        <v>12</v>
      </c>
    </row>
    <row r="84" spans="1:8" x14ac:dyDescent="0.25">
      <c r="A84" s="18" t="s">
        <v>126</v>
      </c>
      <c r="B84" s="18" t="s">
        <v>30</v>
      </c>
      <c r="C84" s="76"/>
      <c r="D84" s="76"/>
      <c r="E84" s="76"/>
      <c r="F84" s="76"/>
      <c r="G84" s="76"/>
      <c r="H84" s="73"/>
    </row>
    <row r="85" spans="1:8" x14ac:dyDescent="0.25">
      <c r="A85" s="17" t="s">
        <v>127</v>
      </c>
      <c r="B85" s="17" t="s">
        <v>128</v>
      </c>
    </row>
    <row r="86" spans="1:8" x14ac:dyDescent="0.25">
      <c r="A86" s="17" t="s">
        <v>129</v>
      </c>
      <c r="B86" s="17" t="s">
        <v>130</v>
      </c>
      <c r="C86" s="75">
        <v>-447361.2</v>
      </c>
      <c r="D86" s="75">
        <v>-517338.9</v>
      </c>
      <c r="E86" s="75">
        <v>13.53</v>
      </c>
      <c r="F86" s="75">
        <v>86.47</v>
      </c>
      <c r="G86" s="75">
        <v>-69977.7</v>
      </c>
      <c r="H86" s="56">
        <f>C86*2</f>
        <v>-894722.4</v>
      </c>
    </row>
    <row r="87" spans="1:8" x14ac:dyDescent="0.25">
      <c r="A87" s="17" t="s">
        <v>131</v>
      </c>
      <c r="B87" s="17" t="s">
        <v>132</v>
      </c>
    </row>
    <row r="88" spans="1:8" x14ac:dyDescent="0.25">
      <c r="A88" s="17" t="s">
        <v>133</v>
      </c>
      <c r="B88" s="17" t="s">
        <v>134</v>
      </c>
    </row>
    <row r="89" spans="1:8" x14ac:dyDescent="0.25">
      <c r="A89" s="17" t="s">
        <v>135</v>
      </c>
      <c r="B89" s="17" t="s">
        <v>136</v>
      </c>
    </row>
    <row r="90" spans="1:8" x14ac:dyDescent="0.25">
      <c r="A90" s="17" t="s">
        <v>137</v>
      </c>
      <c r="B90" s="17" t="s">
        <v>138</v>
      </c>
      <c r="C90" s="75">
        <v>-3426171.89</v>
      </c>
      <c r="D90" s="75">
        <v>-5487463.1699999999</v>
      </c>
      <c r="E90" s="75">
        <v>37.56</v>
      </c>
      <c r="F90" s="75">
        <v>62.44</v>
      </c>
      <c r="G90" s="75">
        <v>-2061291.28</v>
      </c>
      <c r="H90" s="56">
        <v>-6794150.6500000004</v>
      </c>
    </row>
    <row r="91" spans="1:8" x14ac:dyDescent="0.25">
      <c r="A91" s="17" t="s">
        <v>139</v>
      </c>
      <c r="B91" s="17" t="s">
        <v>140</v>
      </c>
    </row>
    <row r="92" spans="1:8" x14ac:dyDescent="0.25">
      <c r="A92" s="17" t="s">
        <v>141</v>
      </c>
      <c r="B92" s="17" t="s">
        <v>142</v>
      </c>
    </row>
    <row r="93" spans="1:8" x14ac:dyDescent="0.25">
      <c r="A93" s="17" t="s">
        <v>143</v>
      </c>
      <c r="B93" s="17" t="s">
        <v>144</v>
      </c>
    </row>
    <row r="94" spans="1:8" x14ac:dyDescent="0.25">
      <c r="A94" s="17" t="s">
        <v>145</v>
      </c>
      <c r="B94" s="17" t="s">
        <v>146</v>
      </c>
      <c r="H94" s="56">
        <v>-220000</v>
      </c>
    </row>
    <row r="95" spans="1:8" x14ac:dyDescent="0.25">
      <c r="A95" s="17" t="s">
        <v>147</v>
      </c>
      <c r="B95" s="17" t="s">
        <v>148</v>
      </c>
    </row>
    <row r="96" spans="1:8" x14ac:dyDescent="0.25">
      <c r="A96" s="17" t="s">
        <v>149</v>
      </c>
      <c r="B96" s="17" t="s">
        <v>150</v>
      </c>
    </row>
    <row r="97" spans="1:8" x14ac:dyDescent="0.25">
      <c r="A97" s="17" t="s">
        <v>151</v>
      </c>
      <c r="B97" s="17" t="s">
        <v>152</v>
      </c>
    </row>
    <row r="98" spans="1:8" x14ac:dyDescent="0.25">
      <c r="A98" s="17" t="s">
        <v>153</v>
      </c>
      <c r="B98" s="17" t="s">
        <v>154</v>
      </c>
    </row>
    <row r="99" spans="1:8" x14ac:dyDescent="0.25">
      <c r="A99" s="17" t="s">
        <v>155</v>
      </c>
      <c r="B99" s="17" t="s">
        <v>156</v>
      </c>
    </row>
    <row r="100" spans="1:8" x14ac:dyDescent="0.25">
      <c r="A100" s="17" t="s">
        <v>157</v>
      </c>
      <c r="B100" s="17" t="s">
        <v>158</v>
      </c>
    </row>
    <row r="101" spans="1:8" x14ac:dyDescent="0.25">
      <c r="A101" s="17" t="s">
        <v>159</v>
      </c>
      <c r="B101" s="17" t="s">
        <v>160</v>
      </c>
    </row>
    <row r="102" spans="1:8" x14ac:dyDescent="0.25">
      <c r="A102" s="17" t="s">
        <v>161</v>
      </c>
      <c r="B102" s="17" t="s">
        <v>162</v>
      </c>
    </row>
    <row r="103" spans="1:8" x14ac:dyDescent="0.25">
      <c r="A103" s="17" t="s">
        <v>163</v>
      </c>
      <c r="B103" s="17" t="s">
        <v>164</v>
      </c>
      <c r="C103" s="75">
        <v>-71400</v>
      </c>
      <c r="D103" s="75">
        <v>-26873.33</v>
      </c>
      <c r="E103" s="75">
        <v>-165.69</v>
      </c>
      <c r="F103" s="75">
        <v>265.69</v>
      </c>
      <c r="G103" s="75">
        <v>44526.67</v>
      </c>
      <c r="H103" s="56">
        <f>C103*2</f>
        <v>-142800</v>
      </c>
    </row>
    <row r="104" spans="1:8" x14ac:dyDescent="0.25">
      <c r="A104" s="17" t="s">
        <v>165</v>
      </c>
      <c r="B104" s="17" t="s">
        <v>166</v>
      </c>
    </row>
    <row r="105" spans="1:8" x14ac:dyDescent="0.25">
      <c r="A105" s="17" t="s">
        <v>167</v>
      </c>
      <c r="B105" s="17" t="s">
        <v>168</v>
      </c>
    </row>
    <row r="106" spans="1:8" x14ac:dyDescent="0.25">
      <c r="A106" s="17" t="s">
        <v>169</v>
      </c>
      <c r="B106" s="17" t="s">
        <v>170</v>
      </c>
      <c r="C106" s="75">
        <v>60131.56</v>
      </c>
      <c r="G106" s="75">
        <v>-60131.56</v>
      </c>
      <c r="H106" s="56">
        <f>C106</f>
        <v>60131.56</v>
      </c>
    </row>
    <row r="107" spans="1:8" x14ac:dyDescent="0.25">
      <c r="A107" s="18" t="s">
        <v>171</v>
      </c>
      <c r="B107" s="18" t="s">
        <v>172</v>
      </c>
      <c r="C107" s="76">
        <v>-3884801.53</v>
      </c>
      <c r="D107" s="76">
        <v>-6031675.4000000004</v>
      </c>
      <c r="E107" s="76">
        <v>35.590000000000003</v>
      </c>
      <c r="F107" s="76">
        <v>64.41</v>
      </c>
      <c r="G107" s="76">
        <v>-2146873.87</v>
      </c>
      <c r="H107" s="73">
        <f>SUM(H85:H106)</f>
        <v>-7991541.4900000012</v>
      </c>
    </row>
    <row r="108" spans="1:8" x14ac:dyDescent="0.25">
      <c r="A108" s="17" t="s">
        <v>12</v>
      </c>
      <c r="B108" s="17" t="s">
        <v>12</v>
      </c>
    </row>
    <row r="109" spans="1:8" x14ac:dyDescent="0.25">
      <c r="A109" s="18" t="s">
        <v>173</v>
      </c>
      <c r="B109" s="18" t="s">
        <v>174</v>
      </c>
      <c r="C109" s="76"/>
      <c r="D109" s="76"/>
      <c r="E109" s="76"/>
      <c r="F109" s="76"/>
      <c r="G109" s="76"/>
      <c r="H109" s="73"/>
    </row>
    <row r="110" spans="1:8" x14ac:dyDescent="0.25">
      <c r="A110" s="17" t="s">
        <v>175</v>
      </c>
      <c r="B110" s="17" t="s">
        <v>174</v>
      </c>
      <c r="C110" s="75">
        <v>-539601.98</v>
      </c>
      <c r="D110" s="75">
        <v>-1123938.24</v>
      </c>
      <c r="E110" s="75">
        <v>51.99</v>
      </c>
      <c r="F110" s="75">
        <v>48.01</v>
      </c>
      <c r="G110" s="75">
        <v>-584336.26</v>
      </c>
      <c r="H110" s="56">
        <v>-1421267.31</v>
      </c>
    </row>
    <row r="111" spans="1:8" x14ac:dyDescent="0.25">
      <c r="A111" s="17" t="s">
        <v>176</v>
      </c>
      <c r="B111" s="17" t="s">
        <v>177</v>
      </c>
    </row>
    <row r="112" spans="1:8" x14ac:dyDescent="0.25">
      <c r="A112" s="18" t="s">
        <v>178</v>
      </c>
      <c r="B112" s="18" t="s">
        <v>179</v>
      </c>
      <c r="C112" s="76">
        <v>-539601.98</v>
      </c>
      <c r="D112" s="76">
        <v>-1123938.24</v>
      </c>
      <c r="E112" s="76">
        <v>51.99</v>
      </c>
      <c r="F112" s="76">
        <v>48.01</v>
      </c>
      <c r="G112" s="76">
        <v>-584336.26</v>
      </c>
      <c r="H112" s="73">
        <f>H110+H111</f>
        <v>-1421267.31</v>
      </c>
    </row>
    <row r="113" spans="1:8" x14ac:dyDescent="0.25">
      <c r="A113" s="17" t="s">
        <v>12</v>
      </c>
      <c r="B113" s="17" t="s">
        <v>12</v>
      </c>
    </row>
    <row r="114" spans="1:8" x14ac:dyDescent="0.25">
      <c r="A114" s="18" t="s">
        <v>180</v>
      </c>
      <c r="B114" s="18" t="s">
        <v>181</v>
      </c>
      <c r="C114" s="76"/>
      <c r="D114" s="76"/>
      <c r="E114" s="76"/>
      <c r="F114" s="76"/>
      <c r="G114" s="76"/>
      <c r="H114" s="73"/>
    </row>
    <row r="115" spans="1:8" x14ac:dyDescent="0.25">
      <c r="A115" s="17" t="s">
        <v>182</v>
      </c>
      <c r="B115" s="17" t="s">
        <v>183</v>
      </c>
      <c r="C115" s="75">
        <v>1396580.41</v>
      </c>
      <c r="G115" s="75">
        <v>-1396580.41</v>
      </c>
      <c r="H115" s="56">
        <f>C115*2</f>
        <v>2793160.82</v>
      </c>
    </row>
    <row r="116" spans="1:8" x14ac:dyDescent="0.25">
      <c r="A116" s="17" t="s">
        <v>184</v>
      </c>
      <c r="B116" s="17" t="s">
        <v>185</v>
      </c>
      <c r="C116" s="75">
        <v>277906</v>
      </c>
      <c r="G116" s="75">
        <v>-277906</v>
      </c>
      <c r="H116" s="56">
        <f>C116</f>
        <v>277906</v>
      </c>
    </row>
    <row r="117" spans="1:8" x14ac:dyDescent="0.25">
      <c r="A117" s="17" t="s">
        <v>186</v>
      </c>
      <c r="B117" s="17" t="s">
        <v>187</v>
      </c>
    </row>
    <row r="118" spans="1:8" x14ac:dyDescent="0.25">
      <c r="A118" s="17" t="s">
        <v>188</v>
      </c>
      <c r="B118" s="17" t="s">
        <v>189</v>
      </c>
      <c r="C118" s="75">
        <v>5705.86</v>
      </c>
      <c r="G118" s="75">
        <v>-5705.86</v>
      </c>
      <c r="H118" s="56">
        <f>C118</f>
        <v>5705.86</v>
      </c>
    </row>
    <row r="119" spans="1:8" x14ac:dyDescent="0.25">
      <c r="A119" s="17" t="s">
        <v>190</v>
      </c>
      <c r="B119" s="17" t="s">
        <v>191</v>
      </c>
    </row>
    <row r="120" spans="1:8" x14ac:dyDescent="0.25">
      <c r="A120" s="17" t="s">
        <v>192</v>
      </c>
      <c r="B120" s="17" t="s">
        <v>193</v>
      </c>
      <c r="C120" s="75">
        <v>93154.92</v>
      </c>
      <c r="G120" s="75">
        <v>-93154.92</v>
      </c>
      <c r="H120" s="56">
        <f>C120</f>
        <v>93154.92</v>
      </c>
    </row>
    <row r="121" spans="1:8" x14ac:dyDescent="0.25">
      <c r="A121" s="17" t="s">
        <v>194</v>
      </c>
      <c r="B121" s="17" t="s">
        <v>195</v>
      </c>
    </row>
    <row r="122" spans="1:8" x14ac:dyDescent="0.25">
      <c r="A122" s="18" t="s">
        <v>196</v>
      </c>
      <c r="B122" s="18" t="s">
        <v>197</v>
      </c>
      <c r="C122" s="76">
        <v>1773347.19</v>
      </c>
      <c r="D122" s="76"/>
      <c r="E122" s="76"/>
      <c r="F122" s="76"/>
      <c r="G122" s="76">
        <v>-1773347.19</v>
      </c>
      <c r="H122" s="73">
        <f>SUM(H115:H121)</f>
        <v>3169927.5999999996</v>
      </c>
    </row>
    <row r="123" spans="1:8" x14ac:dyDescent="0.25">
      <c r="A123" s="18" t="s">
        <v>198</v>
      </c>
      <c r="B123" s="18" t="s">
        <v>199</v>
      </c>
      <c r="C123" s="76">
        <v>-2651056.3199999998</v>
      </c>
      <c r="D123" s="76">
        <v>-7155613.6399999997</v>
      </c>
      <c r="E123" s="76">
        <v>62.95</v>
      </c>
      <c r="F123" s="76">
        <v>37.049999999999997</v>
      </c>
      <c r="G123" s="76">
        <v>-4504557.32</v>
      </c>
      <c r="H123" s="73">
        <f>H122+H112+H107</f>
        <v>-6242881.2000000011</v>
      </c>
    </row>
    <row r="124" spans="1:8" x14ac:dyDescent="0.25">
      <c r="A124" s="17" t="s">
        <v>12</v>
      </c>
      <c r="B124" s="17" t="s">
        <v>12</v>
      </c>
    </row>
    <row r="125" spans="1:8" x14ac:dyDescent="0.25">
      <c r="A125" s="18" t="s">
        <v>200</v>
      </c>
      <c r="B125" s="18" t="s">
        <v>201</v>
      </c>
      <c r="C125" s="76">
        <v>-2662440.16</v>
      </c>
      <c r="D125" s="76">
        <v>-7533813.6399999997</v>
      </c>
      <c r="E125" s="76">
        <v>64.66</v>
      </c>
      <c r="F125" s="76">
        <v>35.340000000000003</v>
      </c>
      <c r="G125" s="76">
        <v>-4871373.4800000004</v>
      </c>
      <c r="H125" s="73">
        <f>H123+H82+H77</f>
        <v>-6254265.040000001</v>
      </c>
    </row>
    <row r="126" spans="1:8" x14ac:dyDescent="0.25">
      <c r="A126" s="17" t="s">
        <v>12</v>
      </c>
      <c r="B126" s="17" t="s">
        <v>12</v>
      </c>
    </row>
    <row r="127" spans="1:8" x14ac:dyDescent="0.25">
      <c r="A127" s="18" t="s">
        <v>202</v>
      </c>
      <c r="B127" s="18" t="s">
        <v>203</v>
      </c>
      <c r="C127" s="76">
        <v>-1531222.66</v>
      </c>
      <c r="D127" s="76">
        <v>5272302.3600000003</v>
      </c>
      <c r="E127" s="76">
        <v>129.04</v>
      </c>
      <c r="F127" s="76">
        <v>-29.04</v>
      </c>
      <c r="G127" s="76">
        <v>6803525.0199999996</v>
      </c>
      <c r="H127" s="73">
        <f>H125+H65</f>
        <v>-4009372.540000001</v>
      </c>
    </row>
    <row r="128" spans="1:8" x14ac:dyDescent="0.25">
      <c r="A128" s="17" t="s">
        <v>12</v>
      </c>
      <c r="B128" s="17" t="s">
        <v>12</v>
      </c>
    </row>
    <row r="129" spans="1:8" x14ac:dyDescent="0.25">
      <c r="A129" s="18" t="s">
        <v>204</v>
      </c>
      <c r="B129" s="18" t="s">
        <v>205</v>
      </c>
      <c r="C129" s="76"/>
      <c r="D129" s="76"/>
      <c r="E129" s="76"/>
      <c r="F129" s="76"/>
      <c r="G129" s="76"/>
      <c r="H129" s="73"/>
    </row>
    <row r="130" spans="1:8" x14ac:dyDescent="0.25">
      <c r="A130" s="17" t="s">
        <v>206</v>
      </c>
      <c r="B130" s="17" t="s">
        <v>207</v>
      </c>
      <c r="C130" s="75">
        <v>13644.9</v>
      </c>
      <c r="D130" s="75">
        <v>42259.63</v>
      </c>
      <c r="E130" s="75">
        <v>67.709999999999994</v>
      </c>
      <c r="F130" s="75">
        <v>32.29</v>
      </c>
      <c r="G130" s="75">
        <v>28614.73</v>
      </c>
      <c r="H130" s="56">
        <v>42259.63</v>
      </c>
    </row>
    <row r="131" spans="1:8" x14ac:dyDescent="0.25">
      <c r="A131" s="17" t="s">
        <v>208</v>
      </c>
      <c r="B131" s="17" t="s">
        <v>209</v>
      </c>
      <c r="C131" s="75">
        <v>1066848.6200000001</v>
      </c>
      <c r="D131" s="75">
        <v>83204.73</v>
      </c>
      <c r="E131" s="75">
        <v>-1182.2</v>
      </c>
      <c r="F131" s="75">
        <v>1282.2</v>
      </c>
      <c r="G131" s="75">
        <v>-983643.89</v>
      </c>
      <c r="H131" s="56">
        <f>C131</f>
        <v>1066848.6200000001</v>
      </c>
    </row>
    <row r="132" spans="1:8" x14ac:dyDescent="0.25">
      <c r="A132" s="17" t="s">
        <v>210</v>
      </c>
      <c r="B132" s="17" t="s">
        <v>211</v>
      </c>
    </row>
    <row r="133" spans="1:8" x14ac:dyDescent="0.25">
      <c r="A133" s="17" t="s">
        <v>212</v>
      </c>
      <c r="B133" s="17" t="s">
        <v>213</v>
      </c>
    </row>
    <row r="134" spans="1:8" x14ac:dyDescent="0.25">
      <c r="A134" s="17" t="s">
        <v>214</v>
      </c>
      <c r="B134" s="17" t="s">
        <v>215</v>
      </c>
    </row>
    <row r="135" spans="1:8" x14ac:dyDescent="0.25">
      <c r="A135" s="17" t="s">
        <v>216</v>
      </c>
      <c r="B135" s="17" t="s">
        <v>217</v>
      </c>
    </row>
    <row r="136" spans="1:8" x14ac:dyDescent="0.25">
      <c r="A136" s="18" t="s">
        <v>218</v>
      </c>
      <c r="B136" s="18" t="s">
        <v>219</v>
      </c>
      <c r="C136" s="76">
        <v>1080493.52</v>
      </c>
      <c r="D136" s="76">
        <v>125464.36</v>
      </c>
      <c r="E136" s="76">
        <v>-761.2</v>
      </c>
      <c r="F136" s="76">
        <v>861.2</v>
      </c>
      <c r="G136" s="76">
        <v>-955029.16</v>
      </c>
      <c r="H136" s="73">
        <f>SUM(H130:H135)</f>
        <v>1109108.25</v>
      </c>
    </row>
    <row r="137" spans="1:8" x14ac:dyDescent="0.25">
      <c r="A137" s="17" t="s">
        <v>12</v>
      </c>
      <c r="B137" s="17" t="s">
        <v>12</v>
      </c>
    </row>
    <row r="138" spans="1:8" x14ac:dyDescent="0.25">
      <c r="A138" s="18" t="s">
        <v>220</v>
      </c>
      <c r="B138" s="18" t="s">
        <v>221</v>
      </c>
      <c r="C138" s="76"/>
      <c r="D138" s="76"/>
      <c r="E138" s="76"/>
      <c r="F138" s="76"/>
      <c r="G138" s="76"/>
      <c r="H138" s="73"/>
    </row>
    <row r="139" spans="1:8" x14ac:dyDescent="0.25">
      <c r="A139" s="17" t="s">
        <v>222</v>
      </c>
      <c r="B139" s="17" t="s">
        <v>223</v>
      </c>
      <c r="D139" s="75">
        <v>-4000000</v>
      </c>
      <c r="E139" s="75">
        <v>100</v>
      </c>
      <c r="G139" s="75">
        <v>-4000000</v>
      </c>
    </row>
    <row r="140" spans="1:8" x14ac:dyDescent="0.25">
      <c r="A140" s="17" t="s">
        <v>224</v>
      </c>
      <c r="B140" s="17" t="s">
        <v>225</v>
      </c>
    </row>
    <row r="141" spans="1:8" x14ac:dyDescent="0.25">
      <c r="A141" s="17" t="s">
        <v>226</v>
      </c>
      <c r="B141" s="17" t="s">
        <v>227</v>
      </c>
    </row>
    <row r="142" spans="1:8" x14ac:dyDescent="0.25">
      <c r="A142" s="17" t="s">
        <v>228</v>
      </c>
      <c r="B142" s="17" t="s">
        <v>229</v>
      </c>
      <c r="C142" s="75">
        <v>3628202.48</v>
      </c>
      <c r="D142" s="75">
        <v>3926274.64</v>
      </c>
      <c r="E142" s="75">
        <v>7.59</v>
      </c>
      <c r="F142" s="75">
        <v>92.41</v>
      </c>
      <c r="G142" s="75">
        <v>298072.15999999997</v>
      </c>
      <c r="H142" s="56">
        <f>16696303.94+277906-7000000</f>
        <v>9974209.9399999976</v>
      </c>
    </row>
    <row r="143" spans="1:8" x14ac:dyDescent="0.25">
      <c r="A143" s="17" t="s">
        <v>230</v>
      </c>
      <c r="B143" s="17" t="s">
        <v>231</v>
      </c>
      <c r="C143" s="75">
        <v>-880</v>
      </c>
      <c r="D143" s="75">
        <v>-4000</v>
      </c>
      <c r="E143" s="75">
        <v>78</v>
      </c>
      <c r="F143" s="75">
        <v>22</v>
      </c>
      <c r="G143" s="75">
        <v>-3120</v>
      </c>
      <c r="H143" s="56">
        <v>-4000</v>
      </c>
    </row>
    <row r="144" spans="1:8" x14ac:dyDescent="0.25">
      <c r="A144" s="17" t="s">
        <v>232</v>
      </c>
      <c r="B144" s="17" t="s">
        <v>233</v>
      </c>
      <c r="C144" s="75">
        <v>-15801.75</v>
      </c>
      <c r="D144" s="75">
        <v>-70000</v>
      </c>
      <c r="E144" s="75">
        <v>77.430000000000007</v>
      </c>
      <c r="F144" s="75">
        <v>22.57</v>
      </c>
      <c r="G144" s="75">
        <v>-54198.25</v>
      </c>
      <c r="H144" s="56">
        <v>-70000</v>
      </c>
    </row>
    <row r="145" spans="1:8" x14ac:dyDescent="0.25">
      <c r="A145" s="17" t="s">
        <v>234</v>
      </c>
      <c r="B145" s="17" t="s">
        <v>235</v>
      </c>
    </row>
    <row r="146" spans="1:8" x14ac:dyDescent="0.25">
      <c r="A146" s="17" t="s">
        <v>236</v>
      </c>
      <c r="B146" s="17" t="s">
        <v>237</v>
      </c>
      <c r="C146" s="75">
        <v>-287.2</v>
      </c>
      <c r="G146" s="75">
        <v>287.2</v>
      </c>
      <c r="H146" s="56">
        <f>C146</f>
        <v>-287.2</v>
      </c>
    </row>
    <row r="147" spans="1:8" x14ac:dyDescent="0.25">
      <c r="A147" s="17" t="s">
        <v>238</v>
      </c>
      <c r="B147" s="17" t="s">
        <v>239</v>
      </c>
      <c r="C147" s="75">
        <v>-19923.72</v>
      </c>
      <c r="D147" s="75">
        <v>-13506.63</v>
      </c>
      <c r="E147" s="75">
        <v>-47.51</v>
      </c>
      <c r="F147" s="75">
        <v>147.51</v>
      </c>
      <c r="G147" s="75">
        <v>6417.09</v>
      </c>
      <c r="H147" s="56">
        <f>C147</f>
        <v>-19923.72</v>
      </c>
    </row>
    <row r="148" spans="1:8" x14ac:dyDescent="0.25">
      <c r="A148" s="17" t="s">
        <v>240</v>
      </c>
      <c r="B148" s="17" t="s">
        <v>241</v>
      </c>
    </row>
    <row r="149" spans="1:8" x14ac:dyDescent="0.25">
      <c r="A149" s="17" t="s">
        <v>242</v>
      </c>
      <c r="B149" s="17" t="s">
        <v>243</v>
      </c>
    </row>
    <row r="150" spans="1:8" x14ac:dyDescent="0.25">
      <c r="A150" s="17" t="s">
        <v>244</v>
      </c>
      <c r="B150" s="17" t="s">
        <v>245</v>
      </c>
    </row>
    <row r="151" spans="1:8" x14ac:dyDescent="0.25">
      <c r="A151" s="17" t="s">
        <v>246</v>
      </c>
      <c r="B151" s="17" t="s">
        <v>247</v>
      </c>
      <c r="C151" s="75">
        <v>-7315</v>
      </c>
      <c r="G151" s="75">
        <v>7315</v>
      </c>
      <c r="H151" s="56">
        <f>C151</f>
        <v>-7315</v>
      </c>
    </row>
    <row r="152" spans="1:8" x14ac:dyDescent="0.25">
      <c r="A152" s="17" t="s">
        <v>248</v>
      </c>
      <c r="B152" s="17" t="s">
        <v>249</v>
      </c>
      <c r="D152" s="75">
        <v>-50000</v>
      </c>
      <c r="E152" s="75">
        <v>100</v>
      </c>
      <c r="G152" s="75">
        <v>-50000</v>
      </c>
      <c r="H152" s="56">
        <v>-50000</v>
      </c>
    </row>
    <row r="153" spans="1:8" x14ac:dyDescent="0.25">
      <c r="A153" s="17" t="s">
        <v>250</v>
      </c>
      <c r="B153" s="17" t="s">
        <v>251</v>
      </c>
    </row>
    <row r="154" spans="1:8" x14ac:dyDescent="0.25">
      <c r="A154" s="17" t="s">
        <v>252</v>
      </c>
      <c r="B154" s="17" t="s">
        <v>253</v>
      </c>
    </row>
    <row r="155" spans="1:8" x14ac:dyDescent="0.25">
      <c r="A155" s="17" t="s">
        <v>254</v>
      </c>
      <c r="B155" s="17" t="s">
        <v>255</v>
      </c>
      <c r="D155" s="75">
        <v>-10155.18</v>
      </c>
      <c r="E155" s="75">
        <v>100</v>
      </c>
      <c r="G155" s="75">
        <v>-10155.18</v>
      </c>
      <c r="H155" s="56">
        <f>-10155.18</f>
        <v>-10155.18</v>
      </c>
    </row>
    <row r="156" spans="1:8" x14ac:dyDescent="0.25">
      <c r="A156" s="17" t="s">
        <v>256</v>
      </c>
      <c r="B156" s="17" t="s">
        <v>257</v>
      </c>
    </row>
    <row r="157" spans="1:8" x14ac:dyDescent="0.25">
      <c r="A157" s="17" t="s">
        <v>258</v>
      </c>
      <c r="B157" s="17" t="s">
        <v>259</v>
      </c>
      <c r="C157" s="75">
        <v>-193393.85</v>
      </c>
      <c r="D157" s="75">
        <v>-49323.4</v>
      </c>
      <c r="E157" s="75">
        <v>-292.08999999999997</v>
      </c>
      <c r="F157" s="75">
        <v>392.09</v>
      </c>
      <c r="G157" s="75">
        <v>144070.45000000001</v>
      </c>
      <c r="H157" s="56">
        <f>C157</f>
        <v>-193393.85</v>
      </c>
    </row>
    <row r="158" spans="1:8" x14ac:dyDescent="0.25">
      <c r="A158" s="17" t="s">
        <v>260</v>
      </c>
      <c r="B158" s="17" t="s">
        <v>261</v>
      </c>
    </row>
    <row r="159" spans="1:8" x14ac:dyDescent="0.25">
      <c r="A159" s="17" t="s">
        <v>262</v>
      </c>
      <c r="B159" s="17" t="s">
        <v>263</v>
      </c>
      <c r="C159" s="75">
        <v>-12222.02</v>
      </c>
      <c r="D159" s="75">
        <v>-1000000</v>
      </c>
      <c r="E159" s="75">
        <v>98.78</v>
      </c>
      <c r="F159" s="75">
        <v>1.22</v>
      </c>
      <c r="G159" s="75">
        <v>-987777.98</v>
      </c>
      <c r="H159" s="56">
        <v>-500000</v>
      </c>
    </row>
    <row r="160" spans="1:8" x14ac:dyDescent="0.25">
      <c r="A160" s="17" t="s">
        <v>264</v>
      </c>
      <c r="B160" s="17" t="s">
        <v>265</v>
      </c>
    </row>
    <row r="161" spans="1:8" x14ac:dyDescent="0.25">
      <c r="A161" s="17" t="s">
        <v>266</v>
      </c>
      <c r="B161" s="17" t="s">
        <v>267</v>
      </c>
    </row>
    <row r="162" spans="1:8" x14ac:dyDescent="0.25">
      <c r="A162" s="17" t="s">
        <v>268</v>
      </c>
      <c r="B162" s="17" t="s">
        <v>269</v>
      </c>
      <c r="D162" s="75">
        <v>-5000</v>
      </c>
      <c r="E162" s="75">
        <v>100</v>
      </c>
      <c r="G162" s="75">
        <v>-5000</v>
      </c>
    </row>
    <row r="163" spans="1:8" x14ac:dyDescent="0.25">
      <c r="A163" s="17" t="s">
        <v>270</v>
      </c>
      <c r="B163" s="17" t="s">
        <v>271</v>
      </c>
    </row>
    <row r="164" spans="1:8" x14ac:dyDescent="0.25">
      <c r="A164" s="17" t="s">
        <v>272</v>
      </c>
      <c r="B164" s="17" t="s">
        <v>273</v>
      </c>
    </row>
    <row r="165" spans="1:8" x14ac:dyDescent="0.25">
      <c r="A165" s="17" t="s">
        <v>274</v>
      </c>
      <c r="B165" s="17" t="s">
        <v>275</v>
      </c>
    </row>
    <row r="166" spans="1:8" x14ac:dyDescent="0.25">
      <c r="A166" s="17" t="s">
        <v>276</v>
      </c>
      <c r="B166" s="17" t="s">
        <v>277</v>
      </c>
    </row>
    <row r="167" spans="1:8" x14ac:dyDescent="0.25">
      <c r="A167" s="17" t="s">
        <v>278</v>
      </c>
      <c r="B167" s="17" t="s">
        <v>279</v>
      </c>
    </row>
    <row r="168" spans="1:8" x14ac:dyDescent="0.25">
      <c r="A168" s="17" t="s">
        <v>280</v>
      </c>
      <c r="B168" s="17" t="s">
        <v>281</v>
      </c>
      <c r="C168" s="75">
        <v>-87562.17</v>
      </c>
      <c r="D168" s="75">
        <v>-400000</v>
      </c>
      <c r="E168" s="75">
        <v>78.11</v>
      </c>
      <c r="F168" s="75">
        <v>21.89</v>
      </c>
      <c r="G168" s="75">
        <v>-312437.83</v>
      </c>
      <c r="H168" s="56">
        <v>-400000</v>
      </c>
    </row>
    <row r="169" spans="1:8" x14ac:dyDescent="0.25">
      <c r="A169" s="17" t="s">
        <v>282</v>
      </c>
      <c r="B169" s="17" t="s">
        <v>283</v>
      </c>
      <c r="C169" s="75">
        <v>-859734.9</v>
      </c>
      <c r="D169" s="75">
        <v>-2000000</v>
      </c>
      <c r="E169" s="75">
        <v>57.01</v>
      </c>
      <c r="F169" s="75">
        <v>42.99</v>
      </c>
      <c r="G169" s="75">
        <v>-1140265.1000000001</v>
      </c>
      <c r="H169" s="56">
        <v>-2400000</v>
      </c>
    </row>
    <row r="170" spans="1:8" x14ac:dyDescent="0.25">
      <c r="A170" s="17" t="s">
        <v>284</v>
      </c>
      <c r="B170" s="17" t="s">
        <v>285</v>
      </c>
      <c r="C170" s="75">
        <v>-109624.75</v>
      </c>
      <c r="D170" s="75">
        <v>-350000</v>
      </c>
      <c r="E170" s="75">
        <v>68.680000000000007</v>
      </c>
      <c r="F170" s="75">
        <v>31.32</v>
      </c>
      <c r="G170" s="75">
        <v>-240375.25</v>
      </c>
      <c r="H170" s="56">
        <v>-350000</v>
      </c>
    </row>
    <row r="171" spans="1:8" x14ac:dyDescent="0.25">
      <c r="A171" s="17" t="s">
        <v>286</v>
      </c>
      <c r="B171" s="17" t="s">
        <v>287</v>
      </c>
      <c r="C171" s="75">
        <v>-38500</v>
      </c>
      <c r="D171" s="75">
        <v>-35000</v>
      </c>
      <c r="E171" s="75">
        <v>-10</v>
      </c>
      <c r="F171" s="75">
        <v>110</v>
      </c>
      <c r="G171" s="75">
        <v>3500</v>
      </c>
      <c r="H171" s="56">
        <v>-100000</v>
      </c>
    </row>
    <row r="172" spans="1:8" x14ac:dyDescent="0.25">
      <c r="A172" s="17" t="s">
        <v>288</v>
      </c>
      <c r="B172" s="17" t="s">
        <v>289</v>
      </c>
      <c r="C172" s="75">
        <v>-188417</v>
      </c>
      <c r="D172" s="75">
        <v>-281956.57</v>
      </c>
      <c r="E172" s="75">
        <v>33.18</v>
      </c>
      <c r="F172" s="75">
        <v>66.819999999999993</v>
      </c>
      <c r="G172" s="75">
        <v>-93539.57</v>
      </c>
      <c r="H172" s="56">
        <f>-281956.57-25000-25000-25000-400000</f>
        <v>-756956.57000000007</v>
      </c>
    </row>
    <row r="173" spans="1:8" x14ac:dyDescent="0.25">
      <c r="A173" s="17" t="s">
        <v>290</v>
      </c>
      <c r="B173" s="17" t="s">
        <v>291</v>
      </c>
    </row>
    <row r="174" spans="1:8" x14ac:dyDescent="0.25">
      <c r="A174" s="17" t="s">
        <v>292</v>
      </c>
      <c r="B174" s="17" t="s">
        <v>293</v>
      </c>
      <c r="C174" s="75">
        <v>-20923.86</v>
      </c>
      <c r="D174" s="75">
        <v>-8987.61</v>
      </c>
      <c r="E174" s="75">
        <v>-132.81</v>
      </c>
      <c r="F174" s="75">
        <v>232.81</v>
      </c>
      <c r="G174" s="75">
        <v>11936.25</v>
      </c>
      <c r="H174" s="56">
        <f>C174</f>
        <v>-20923.86</v>
      </c>
    </row>
    <row r="175" spans="1:8" x14ac:dyDescent="0.25">
      <c r="A175" s="17" t="s">
        <v>294</v>
      </c>
      <c r="B175" s="17" t="s">
        <v>295</v>
      </c>
      <c r="C175" s="75">
        <v>-1223402.74</v>
      </c>
      <c r="D175" s="75">
        <v>-218558.88</v>
      </c>
      <c r="E175" s="75">
        <v>-459.76</v>
      </c>
      <c r="F175" s="75">
        <v>559.76</v>
      </c>
      <c r="G175" s="75">
        <v>1004843.86</v>
      </c>
      <c r="H175" s="56">
        <f>C175</f>
        <v>-1223402.74</v>
      </c>
    </row>
    <row r="176" spans="1:8" x14ac:dyDescent="0.25">
      <c r="A176" s="17" t="s">
        <v>296</v>
      </c>
      <c r="B176" s="17" t="s">
        <v>297</v>
      </c>
      <c r="C176" s="75">
        <v>-14822.72</v>
      </c>
      <c r="D176" s="75">
        <v>-50000</v>
      </c>
      <c r="E176" s="75">
        <v>70.349999999999994</v>
      </c>
      <c r="F176" s="75">
        <v>29.65</v>
      </c>
      <c r="G176" s="75">
        <v>-35177.279999999999</v>
      </c>
      <c r="H176" s="56">
        <v>-50000</v>
      </c>
    </row>
    <row r="177" spans="1:8" x14ac:dyDescent="0.25">
      <c r="A177" s="17" t="s">
        <v>298</v>
      </c>
      <c r="B177" s="17" t="s">
        <v>299</v>
      </c>
    </row>
    <row r="178" spans="1:8" x14ac:dyDescent="0.25">
      <c r="A178" s="17" t="s">
        <v>300</v>
      </c>
      <c r="B178" s="17" t="s">
        <v>301</v>
      </c>
      <c r="C178" s="75">
        <v>-234162.44</v>
      </c>
      <c r="D178" s="75">
        <v>-70000</v>
      </c>
      <c r="E178" s="75">
        <v>-234.52</v>
      </c>
      <c r="F178" s="75">
        <v>334.52</v>
      </c>
      <c r="G178" s="75">
        <v>164162.44</v>
      </c>
      <c r="H178" s="56">
        <f>C178</f>
        <v>-234162.44</v>
      </c>
    </row>
    <row r="179" spans="1:8" x14ac:dyDescent="0.25">
      <c r="A179" s="17" t="s">
        <v>302</v>
      </c>
      <c r="B179" s="17" t="s">
        <v>303</v>
      </c>
      <c r="C179" s="75">
        <v>-4956.78</v>
      </c>
      <c r="D179" s="75">
        <v>-20000</v>
      </c>
      <c r="E179" s="75">
        <v>75.22</v>
      </c>
      <c r="F179" s="75">
        <v>24.78</v>
      </c>
      <c r="G179" s="75">
        <v>-15043.22</v>
      </c>
      <c r="H179" s="56">
        <v>-20000</v>
      </c>
    </row>
    <row r="180" spans="1:8" x14ac:dyDescent="0.25">
      <c r="A180" s="17" t="s">
        <v>304</v>
      </c>
      <c r="B180" s="17" t="s">
        <v>305</v>
      </c>
      <c r="D180" s="75">
        <v>-40000</v>
      </c>
      <c r="E180" s="75">
        <v>100</v>
      </c>
      <c r="G180" s="75">
        <v>-40000</v>
      </c>
      <c r="H180" s="56">
        <v>-20000</v>
      </c>
    </row>
    <row r="181" spans="1:8" x14ac:dyDescent="0.25">
      <c r="A181" s="17" t="s">
        <v>306</v>
      </c>
      <c r="B181" s="17" t="s">
        <v>307</v>
      </c>
    </row>
    <row r="182" spans="1:8" x14ac:dyDescent="0.25">
      <c r="A182" s="17" t="s">
        <v>308</v>
      </c>
      <c r="B182" s="17" t="s">
        <v>309</v>
      </c>
      <c r="C182" s="75">
        <v>-93885.75</v>
      </c>
      <c r="D182" s="75">
        <v>-600000</v>
      </c>
      <c r="E182" s="75">
        <v>84.35</v>
      </c>
      <c r="F182" s="75">
        <v>15.65</v>
      </c>
      <c r="G182" s="75">
        <v>-506114.25</v>
      </c>
      <c r="H182" s="56">
        <v>-600000</v>
      </c>
    </row>
    <row r="183" spans="1:8" x14ac:dyDescent="0.25">
      <c r="A183" s="17" t="s">
        <v>310</v>
      </c>
      <c r="B183" s="17" t="s">
        <v>311</v>
      </c>
      <c r="C183" s="75">
        <v>-1456</v>
      </c>
      <c r="D183" s="75">
        <v>-100</v>
      </c>
      <c r="E183" s="75">
        <v>-1356</v>
      </c>
      <c r="F183" s="75">
        <v>1456</v>
      </c>
      <c r="G183" s="75">
        <v>1356</v>
      </c>
      <c r="H183" s="56">
        <f>C183</f>
        <v>-1456</v>
      </c>
    </row>
    <row r="184" spans="1:8" x14ac:dyDescent="0.25">
      <c r="A184" s="17" t="s">
        <v>312</v>
      </c>
      <c r="B184" s="17" t="s">
        <v>313</v>
      </c>
      <c r="C184" s="75">
        <v>-13339.32</v>
      </c>
      <c r="G184" s="75">
        <v>13339.32</v>
      </c>
      <c r="H184" s="56">
        <v>13339.92</v>
      </c>
    </row>
    <row r="185" spans="1:8" x14ac:dyDescent="0.25">
      <c r="A185" s="17" t="s">
        <v>314</v>
      </c>
      <c r="B185" s="17" t="s">
        <v>315</v>
      </c>
      <c r="C185" s="75">
        <v>-4500</v>
      </c>
      <c r="G185" s="75">
        <v>4500</v>
      </c>
      <c r="H185" s="56">
        <f>C185</f>
        <v>-4500</v>
      </c>
    </row>
    <row r="186" spans="1:8" x14ac:dyDescent="0.25">
      <c r="A186" s="17" t="s">
        <v>316</v>
      </c>
      <c r="B186" s="17" t="s">
        <v>317</v>
      </c>
      <c r="C186" s="75">
        <v>-2994.02</v>
      </c>
      <c r="D186" s="75">
        <v>-10000</v>
      </c>
      <c r="E186" s="75">
        <v>70.06</v>
      </c>
      <c r="F186" s="75">
        <v>29.94</v>
      </c>
      <c r="G186" s="75">
        <v>-7005.98</v>
      </c>
      <c r="H186" s="56">
        <v>-10000</v>
      </c>
    </row>
    <row r="187" spans="1:8" x14ac:dyDescent="0.25">
      <c r="A187" s="17" t="s">
        <v>318</v>
      </c>
      <c r="B187" s="17" t="s">
        <v>319</v>
      </c>
      <c r="C187" s="75">
        <v>-25909.27</v>
      </c>
      <c r="D187" s="75">
        <v>-30000</v>
      </c>
      <c r="E187" s="75">
        <v>13.64</v>
      </c>
      <c r="F187" s="75">
        <v>86.36</v>
      </c>
      <c r="G187" s="75">
        <v>-4090.73</v>
      </c>
      <c r="H187" s="56">
        <v>-30000</v>
      </c>
    </row>
    <row r="188" spans="1:8" x14ac:dyDescent="0.25">
      <c r="A188" s="17" t="s">
        <v>320</v>
      </c>
      <c r="B188" s="17" t="s">
        <v>321</v>
      </c>
      <c r="C188" s="75">
        <v>-141.96</v>
      </c>
      <c r="G188" s="75">
        <v>141.96</v>
      </c>
      <c r="H188" s="56">
        <v>-141.96</v>
      </c>
    </row>
    <row r="189" spans="1:8" x14ac:dyDescent="0.25">
      <c r="A189" s="17" t="s">
        <v>322</v>
      </c>
      <c r="B189" s="17" t="s">
        <v>323</v>
      </c>
    </row>
    <row r="190" spans="1:8" x14ac:dyDescent="0.25">
      <c r="A190" s="17" t="s">
        <v>324</v>
      </c>
      <c r="B190" s="17" t="s">
        <v>325</v>
      </c>
    </row>
    <row r="191" spans="1:8" x14ac:dyDescent="0.25">
      <c r="A191" s="17" t="s">
        <v>326</v>
      </c>
      <c r="B191" s="17" t="s">
        <v>327</v>
      </c>
    </row>
    <row r="192" spans="1:8" x14ac:dyDescent="0.25">
      <c r="A192" s="17" t="s">
        <v>328</v>
      </c>
      <c r="B192" s="17" t="s">
        <v>329</v>
      </c>
    </row>
    <row r="193" spans="1:8" x14ac:dyDescent="0.25">
      <c r="A193" s="17" t="s">
        <v>330</v>
      </c>
      <c r="B193" s="17" t="s">
        <v>331</v>
      </c>
    </row>
    <row r="194" spans="1:8" x14ac:dyDescent="0.25">
      <c r="A194" s="17" t="s">
        <v>332</v>
      </c>
      <c r="B194" s="17" t="s">
        <v>333</v>
      </c>
    </row>
    <row r="195" spans="1:8" x14ac:dyDescent="0.25">
      <c r="A195" s="17" t="s">
        <v>334</v>
      </c>
      <c r="B195" s="17" t="s">
        <v>335</v>
      </c>
      <c r="C195" s="75">
        <v>-1.62</v>
      </c>
      <c r="D195" s="75">
        <v>20.49</v>
      </c>
      <c r="E195" s="75">
        <v>107.91</v>
      </c>
      <c r="F195" s="75">
        <v>-7.91</v>
      </c>
      <c r="G195" s="75">
        <v>22.11</v>
      </c>
      <c r="H195" s="56">
        <v>20.49</v>
      </c>
    </row>
    <row r="196" spans="1:8" x14ac:dyDescent="0.25">
      <c r="A196" s="17" t="s">
        <v>336</v>
      </c>
      <c r="B196" s="17" t="s">
        <v>337</v>
      </c>
    </row>
    <row r="197" spans="1:8" x14ac:dyDescent="0.25">
      <c r="A197" s="17" t="s">
        <v>338</v>
      </c>
      <c r="B197" s="17" t="s">
        <v>339</v>
      </c>
    </row>
    <row r="198" spans="1:8" x14ac:dyDescent="0.25">
      <c r="A198" s="18" t="s">
        <v>340</v>
      </c>
      <c r="B198" s="18" t="s">
        <v>341</v>
      </c>
      <c r="C198" s="76">
        <v>454043.64</v>
      </c>
      <c r="D198" s="76">
        <v>-5390293.1399999997</v>
      </c>
      <c r="E198" s="76">
        <v>108.42</v>
      </c>
      <c r="F198" s="76">
        <v>-8.42</v>
      </c>
      <c r="G198" s="76">
        <v>-5844336.7800000003</v>
      </c>
      <c r="H198" s="73">
        <f>SUM(H139:H197)</f>
        <v>2910951.8299999977</v>
      </c>
    </row>
    <row r="199" spans="1:8" x14ac:dyDescent="0.25">
      <c r="A199" s="17" t="s">
        <v>12</v>
      </c>
      <c r="B199" s="17" t="s">
        <v>12</v>
      </c>
    </row>
    <row r="200" spans="1:8" x14ac:dyDescent="0.25">
      <c r="A200" s="18" t="s">
        <v>342</v>
      </c>
      <c r="B200" s="18" t="s">
        <v>343</v>
      </c>
      <c r="C200" s="76"/>
      <c r="D200" s="76"/>
      <c r="E200" s="76"/>
      <c r="F200" s="76"/>
      <c r="G200" s="76"/>
      <c r="H200" s="73"/>
    </row>
    <row r="201" spans="1:8" x14ac:dyDescent="0.25">
      <c r="A201" s="17" t="s">
        <v>344</v>
      </c>
      <c r="B201" s="17" t="s">
        <v>345</v>
      </c>
    </row>
    <row r="202" spans="1:8" x14ac:dyDescent="0.25">
      <c r="A202" s="17" t="s">
        <v>346</v>
      </c>
      <c r="B202" s="17" t="s">
        <v>347</v>
      </c>
    </row>
    <row r="203" spans="1:8" x14ac:dyDescent="0.25">
      <c r="A203" s="17" t="s">
        <v>348</v>
      </c>
      <c r="B203" s="17" t="s">
        <v>349</v>
      </c>
    </row>
    <row r="204" spans="1:8" x14ac:dyDescent="0.25">
      <c r="A204" s="17" t="s">
        <v>350</v>
      </c>
      <c r="B204" s="17" t="s">
        <v>351</v>
      </c>
    </row>
    <row r="205" spans="1:8" x14ac:dyDescent="0.25">
      <c r="A205" s="17" t="s">
        <v>352</v>
      </c>
      <c r="B205" s="17" t="s">
        <v>353</v>
      </c>
    </row>
    <row r="206" spans="1:8" x14ac:dyDescent="0.25">
      <c r="A206" s="17" t="s">
        <v>354</v>
      </c>
      <c r="B206" s="17" t="s">
        <v>355</v>
      </c>
      <c r="C206" s="75">
        <v>418.28</v>
      </c>
      <c r="G206" s="75">
        <v>-418.28</v>
      </c>
      <c r="H206" s="56">
        <f>C206</f>
        <v>418.28</v>
      </c>
    </row>
    <row r="207" spans="1:8" x14ac:dyDescent="0.25">
      <c r="A207" s="17" t="s">
        <v>356</v>
      </c>
      <c r="B207" s="17" t="s">
        <v>357</v>
      </c>
    </row>
    <row r="208" spans="1:8" x14ac:dyDescent="0.25">
      <c r="A208" s="17" t="s">
        <v>358</v>
      </c>
      <c r="B208" s="17" t="s">
        <v>359</v>
      </c>
    </row>
    <row r="209" spans="1:8" x14ac:dyDescent="0.25">
      <c r="A209" s="18" t="s">
        <v>360</v>
      </c>
      <c r="B209" s="18" t="s">
        <v>361</v>
      </c>
      <c r="C209" s="76">
        <v>418.28</v>
      </c>
      <c r="D209" s="76"/>
      <c r="E209" s="76"/>
      <c r="F209" s="76"/>
      <c r="G209" s="76">
        <v>-418.28</v>
      </c>
      <c r="H209" s="73">
        <f>SUM(H201:H208)</f>
        <v>418.28</v>
      </c>
    </row>
    <row r="210" spans="1:8" x14ac:dyDescent="0.25">
      <c r="A210" s="17" t="s">
        <v>12</v>
      </c>
      <c r="B210" s="17" t="s">
        <v>12</v>
      </c>
    </row>
    <row r="211" spans="1:8" x14ac:dyDescent="0.25">
      <c r="A211" s="18" t="s">
        <v>362</v>
      </c>
      <c r="B211" s="18" t="s">
        <v>40</v>
      </c>
      <c r="C211" s="76"/>
      <c r="D211" s="76"/>
      <c r="E211" s="76"/>
      <c r="F211" s="76"/>
      <c r="G211" s="76"/>
      <c r="H211" s="73"/>
    </row>
    <row r="212" spans="1:8" x14ac:dyDescent="0.25">
      <c r="A212" s="17" t="s">
        <v>363</v>
      </c>
      <c r="B212" s="17" t="s">
        <v>364</v>
      </c>
      <c r="D212" s="75">
        <v>-245.74</v>
      </c>
      <c r="E212" s="75">
        <v>100</v>
      </c>
      <c r="G212" s="75">
        <v>-245.74</v>
      </c>
      <c r="H212" s="56">
        <v>-245.74</v>
      </c>
    </row>
    <row r="213" spans="1:8" x14ac:dyDescent="0.25">
      <c r="A213" s="17" t="s">
        <v>365</v>
      </c>
      <c r="B213" s="17" t="s">
        <v>366</v>
      </c>
    </row>
    <row r="214" spans="1:8" x14ac:dyDescent="0.25">
      <c r="A214" s="17" t="s">
        <v>367</v>
      </c>
      <c r="B214" s="17" t="s">
        <v>368</v>
      </c>
      <c r="C214" s="75">
        <v>-3632.24</v>
      </c>
      <c r="G214" s="75">
        <v>3632.24</v>
      </c>
      <c r="H214" s="56">
        <f>C214</f>
        <v>-3632.24</v>
      </c>
    </row>
    <row r="215" spans="1:8" x14ac:dyDescent="0.25">
      <c r="A215" s="17" t="s">
        <v>369</v>
      </c>
      <c r="B215" s="17" t="s">
        <v>370</v>
      </c>
      <c r="C215" s="75">
        <v>-100.54</v>
      </c>
      <c r="D215" s="75">
        <v>-7227.84</v>
      </c>
      <c r="E215" s="75">
        <v>98.61</v>
      </c>
      <c r="F215" s="75">
        <v>1.39</v>
      </c>
      <c r="G215" s="75">
        <v>-7127.3</v>
      </c>
      <c r="H215" s="56">
        <v>-7227.84</v>
      </c>
    </row>
    <row r="216" spans="1:8" x14ac:dyDescent="0.25">
      <c r="A216" s="17" t="s">
        <v>371</v>
      </c>
      <c r="B216" s="17" t="s">
        <v>372</v>
      </c>
    </row>
    <row r="217" spans="1:8" x14ac:dyDescent="0.25">
      <c r="A217" s="17" t="s">
        <v>373</v>
      </c>
      <c r="B217" s="17" t="s">
        <v>374</v>
      </c>
    </row>
    <row r="218" spans="1:8" x14ac:dyDescent="0.25">
      <c r="A218" s="17" t="s">
        <v>375</v>
      </c>
      <c r="B218" s="17" t="s">
        <v>376</v>
      </c>
    </row>
    <row r="219" spans="1:8" x14ac:dyDescent="0.25">
      <c r="A219" s="18" t="s">
        <v>377</v>
      </c>
      <c r="B219" s="18" t="s">
        <v>378</v>
      </c>
      <c r="C219" s="76">
        <v>-3732.78</v>
      </c>
      <c r="D219" s="76">
        <v>-7473.58</v>
      </c>
      <c r="E219" s="76">
        <v>50.05</v>
      </c>
      <c r="F219" s="76">
        <v>49.95</v>
      </c>
      <c r="G219" s="76">
        <v>-3740.8</v>
      </c>
      <c r="H219" s="73">
        <f>SUM(H212:H218)</f>
        <v>-11105.82</v>
      </c>
    </row>
    <row r="220" spans="1:8" x14ac:dyDescent="0.25">
      <c r="A220" s="17" t="s">
        <v>12</v>
      </c>
      <c r="B220" s="17" t="s">
        <v>12</v>
      </c>
    </row>
    <row r="221" spans="1:8" x14ac:dyDescent="0.25">
      <c r="A221" s="18" t="s">
        <v>379</v>
      </c>
      <c r="B221" s="18" t="s">
        <v>380</v>
      </c>
      <c r="C221" s="76"/>
      <c r="D221" s="76"/>
      <c r="E221" s="76"/>
      <c r="F221" s="76"/>
      <c r="G221" s="76"/>
      <c r="H221" s="73"/>
    </row>
    <row r="222" spans="1:8" x14ac:dyDescent="0.25">
      <c r="A222" s="17" t="s">
        <v>381</v>
      </c>
      <c r="B222" s="17" t="s">
        <v>380</v>
      </c>
    </row>
    <row r="223" spans="1:8" x14ac:dyDescent="0.25">
      <c r="A223" s="18" t="s">
        <v>382</v>
      </c>
      <c r="B223" s="18" t="s">
        <v>383</v>
      </c>
      <c r="C223" s="76"/>
      <c r="D223" s="76"/>
      <c r="E223" s="76"/>
      <c r="F223" s="76"/>
      <c r="G223" s="76"/>
      <c r="H223" s="73">
        <f>SUM(H222)</f>
        <v>0</v>
      </c>
    </row>
    <row r="224" spans="1:8" x14ac:dyDescent="0.25">
      <c r="A224" s="17" t="s">
        <v>12</v>
      </c>
      <c r="B224" s="17" t="s">
        <v>12</v>
      </c>
    </row>
    <row r="225" spans="1:8" x14ac:dyDescent="0.25">
      <c r="A225" s="18" t="s">
        <v>384</v>
      </c>
      <c r="B225" s="18" t="s">
        <v>385</v>
      </c>
      <c r="C225" s="76"/>
      <c r="D225" s="76"/>
      <c r="E225" s="76"/>
      <c r="F225" s="76"/>
      <c r="G225" s="76"/>
      <c r="H225" s="73"/>
    </row>
    <row r="226" spans="1:8" x14ac:dyDescent="0.25">
      <c r="A226" s="17" t="s">
        <v>386</v>
      </c>
      <c r="B226" s="17" t="s">
        <v>385</v>
      </c>
    </row>
    <row r="227" spans="1:8" x14ac:dyDescent="0.25">
      <c r="A227" s="18" t="s">
        <v>387</v>
      </c>
      <c r="B227" s="18" t="s">
        <v>388</v>
      </c>
      <c r="C227" s="76"/>
      <c r="D227" s="76"/>
      <c r="E227" s="76"/>
      <c r="F227" s="76"/>
      <c r="G227" s="76"/>
      <c r="H227" s="73">
        <f>H226</f>
        <v>0</v>
      </c>
    </row>
    <row r="228" spans="1:8" x14ac:dyDescent="0.25">
      <c r="A228" s="17" t="s">
        <v>12</v>
      </c>
      <c r="B228" s="17" t="s">
        <v>12</v>
      </c>
    </row>
    <row r="229" spans="1:8" ht="15.75" thickBot="1" x14ac:dyDescent="0.3">
      <c r="A229" s="19" t="s">
        <v>389</v>
      </c>
      <c r="B229" s="19" t="s">
        <v>390</v>
      </c>
      <c r="C229" s="77"/>
      <c r="D229" s="77"/>
      <c r="E229" s="77"/>
      <c r="F229" s="77"/>
      <c r="G229" s="77"/>
      <c r="H229" s="74">
        <f>H227+H223+H219+H209+H198+H136+H127</f>
        <v>0</v>
      </c>
    </row>
    <row r="230" spans="1:8" ht="15.75" thickTop="1" x14ac:dyDescent="0.25">
      <c r="A230" s="17" t="s">
        <v>12</v>
      </c>
      <c r="B230" s="17" t="s">
        <v>12</v>
      </c>
    </row>
    <row r="231" spans="1:8" x14ac:dyDescent="0.25">
      <c r="A231" s="18" t="s">
        <v>391</v>
      </c>
      <c r="B231" s="18" t="s">
        <v>392</v>
      </c>
      <c r="C231" s="76"/>
      <c r="D231" s="76"/>
      <c r="E231" s="76"/>
      <c r="F231" s="76"/>
      <c r="G231" s="76"/>
      <c r="H231" s="73"/>
    </row>
    <row r="232" spans="1:8" x14ac:dyDescent="0.25">
      <c r="A232" s="17" t="s">
        <v>393</v>
      </c>
      <c r="B232" s="17" t="s">
        <v>394</v>
      </c>
    </row>
    <row r="233" spans="1:8" x14ac:dyDescent="0.25">
      <c r="A233" s="17" t="s">
        <v>395</v>
      </c>
      <c r="B233" s="17" t="s">
        <v>396</v>
      </c>
    </row>
    <row r="234" spans="1:8" x14ac:dyDescent="0.25">
      <c r="A234" s="17" t="s">
        <v>397</v>
      </c>
      <c r="B234" s="17" t="s">
        <v>398</v>
      </c>
    </row>
    <row r="235" spans="1:8" x14ac:dyDescent="0.25">
      <c r="A235" s="18" t="s">
        <v>399</v>
      </c>
      <c r="B235" s="18" t="s">
        <v>400</v>
      </c>
      <c r="C235" s="76"/>
      <c r="D235" s="76"/>
      <c r="E235" s="76"/>
      <c r="F235" s="76"/>
      <c r="G235" s="76"/>
      <c r="H235" s="73">
        <f>SUM(H232:H234)</f>
        <v>0</v>
      </c>
    </row>
    <row r="236" spans="1:8" x14ac:dyDescent="0.25">
      <c r="A236" s="17" t="s">
        <v>12</v>
      </c>
      <c r="B236" s="17" t="s">
        <v>12</v>
      </c>
    </row>
    <row r="237" spans="1:8" ht="15.75" thickBot="1" x14ac:dyDescent="0.3">
      <c r="A237" s="19" t="s">
        <v>12</v>
      </c>
      <c r="B237" s="19" t="s">
        <v>46</v>
      </c>
      <c r="C237" s="77"/>
      <c r="D237" s="77"/>
      <c r="E237" s="77"/>
      <c r="F237" s="77"/>
      <c r="G237" s="77"/>
      <c r="H237" s="74"/>
    </row>
    <row r="238" spans="1:8" ht="15.75" thickTop="1" x14ac:dyDescent="0.25">
      <c r="A238" s="17" t="s">
        <v>12</v>
      </c>
      <c r="B238" s="17" t="s">
        <v>12</v>
      </c>
    </row>
    <row r="239" spans="1:8" x14ac:dyDescent="0.25">
      <c r="A239" s="17" t="s">
        <v>401</v>
      </c>
      <c r="B239" s="17" t="s">
        <v>402</v>
      </c>
    </row>
    <row r="240" spans="1:8" x14ac:dyDescent="0.25">
      <c r="A240" s="17" t="s">
        <v>403</v>
      </c>
      <c r="B240" s="17" t="s">
        <v>404</v>
      </c>
    </row>
    <row r="241" spans="1:8" x14ac:dyDescent="0.25">
      <c r="A241" s="17" t="s">
        <v>405</v>
      </c>
      <c r="B241" s="17" t="s">
        <v>406</v>
      </c>
    </row>
    <row r="242" spans="1:8" x14ac:dyDescent="0.25">
      <c r="A242" s="17" t="s">
        <v>407</v>
      </c>
      <c r="B242" s="17" t="s">
        <v>408</v>
      </c>
    </row>
    <row r="243" spans="1:8" x14ac:dyDescent="0.25">
      <c r="A243" s="18" t="s">
        <v>409</v>
      </c>
      <c r="B243" s="18" t="s">
        <v>410</v>
      </c>
      <c r="C243" s="76"/>
      <c r="D243" s="76"/>
      <c r="E243" s="76"/>
      <c r="F243" s="76"/>
      <c r="G243" s="76"/>
      <c r="H243" s="73">
        <f>SUM(H239:H242)</f>
        <v>0</v>
      </c>
    </row>
    <row r="244" spans="1:8" x14ac:dyDescent="0.25">
      <c r="A244" s="17" t="s">
        <v>12</v>
      </c>
      <c r="B244" s="17" t="s">
        <v>12</v>
      </c>
    </row>
    <row r="245" spans="1:8" ht="15.75" thickBot="1" x14ac:dyDescent="0.3">
      <c r="A245" s="19" t="s">
        <v>411</v>
      </c>
      <c r="B245" s="19" t="s">
        <v>49</v>
      </c>
      <c r="C245" s="77"/>
      <c r="D245" s="77"/>
      <c r="E245" s="77"/>
      <c r="F245" s="77"/>
      <c r="G245" s="77"/>
      <c r="H245" s="74">
        <f>H229+H235+H243</f>
        <v>0</v>
      </c>
    </row>
    <row r="246" spans="1:8" ht="15.75" thickTop="1" x14ac:dyDescent="0.25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6"/>
  <sheetViews>
    <sheetView topLeftCell="A13" workbookViewId="0">
      <selection activeCell="K44" sqref="K44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4" width="14" style="75" bestFit="1" customWidth="1"/>
    <col min="5" max="5" width="10.28515625" style="75" bestFit="1" customWidth="1"/>
    <col min="6" max="6" width="19.42578125" style="75" bestFit="1" customWidth="1"/>
    <col min="7" max="7" width="14" style="75" bestFit="1" customWidth="1"/>
    <col min="8" max="8" width="14" style="56" bestFit="1" customWidth="1"/>
  </cols>
  <sheetData>
    <row r="1" spans="1:8" x14ac:dyDescent="0.25">
      <c r="A1" s="46" t="s">
        <v>0</v>
      </c>
      <c r="B1" s="45"/>
    </row>
    <row r="2" spans="1:8" x14ac:dyDescent="0.25">
      <c r="A2" s="47" t="s">
        <v>1</v>
      </c>
      <c r="B2" s="47" t="s">
        <v>2</v>
      </c>
    </row>
    <row r="3" spans="1:8" x14ac:dyDescent="0.25">
      <c r="A3" s="47" t="s">
        <v>3</v>
      </c>
      <c r="B3" s="47" t="s">
        <v>4</v>
      </c>
    </row>
    <row r="4" spans="1:8" x14ac:dyDescent="0.25">
      <c r="A4" s="47" t="s">
        <v>412</v>
      </c>
      <c r="B4" s="47" t="s">
        <v>47</v>
      </c>
    </row>
    <row r="6" spans="1:8" x14ac:dyDescent="0.25">
      <c r="A6" s="47" t="s">
        <v>5</v>
      </c>
      <c r="B6" s="47" t="s">
        <v>6</v>
      </c>
    </row>
    <row r="8" spans="1:8" x14ac:dyDescent="0.25">
      <c r="A8" s="45"/>
      <c r="B8" s="45"/>
      <c r="C8" s="75" t="s">
        <v>7</v>
      </c>
      <c r="D8" s="75" t="s">
        <v>8</v>
      </c>
      <c r="E8" s="75" t="s">
        <v>9</v>
      </c>
      <c r="F8" s="75" t="s">
        <v>10</v>
      </c>
      <c r="G8" s="75" t="s">
        <v>11</v>
      </c>
      <c r="H8" s="56" t="s">
        <v>428</v>
      </c>
    </row>
    <row r="9" spans="1:8" x14ac:dyDescent="0.25">
      <c r="A9" s="48" t="s">
        <v>12</v>
      </c>
      <c r="B9" s="48" t="s">
        <v>13</v>
      </c>
      <c r="C9" s="76"/>
      <c r="D9" s="76"/>
      <c r="E9" s="76"/>
      <c r="F9" s="76"/>
      <c r="G9" s="76"/>
      <c r="H9" s="73"/>
    </row>
    <row r="10" spans="1:8" x14ac:dyDescent="0.25">
      <c r="A10" s="47" t="s">
        <v>12</v>
      </c>
      <c r="B10" s="47" t="s">
        <v>12</v>
      </c>
    </row>
    <row r="11" spans="1:8" x14ac:dyDescent="0.25">
      <c r="A11" s="47" t="s">
        <v>14</v>
      </c>
      <c r="B11" s="47" t="s">
        <v>15</v>
      </c>
      <c r="C11" s="75">
        <v>13897827.65</v>
      </c>
      <c r="D11" s="75">
        <v>31783837.309999999</v>
      </c>
      <c r="E11" s="75">
        <v>56.27</v>
      </c>
      <c r="F11" s="75">
        <v>43.73</v>
      </c>
      <c r="G11" s="75">
        <v>17886009.66</v>
      </c>
      <c r="H11" s="56">
        <f>H46</f>
        <v>26701077.614952132</v>
      </c>
    </row>
    <row r="12" spans="1:8" x14ac:dyDescent="0.25">
      <c r="A12" s="47" t="s">
        <v>16</v>
      </c>
      <c r="B12" s="47" t="s">
        <v>17</v>
      </c>
      <c r="C12" s="75">
        <v>307843.27</v>
      </c>
      <c r="D12" s="75">
        <v>823821.67</v>
      </c>
      <c r="E12" s="75">
        <v>62.63</v>
      </c>
      <c r="F12" s="75">
        <v>37.369999999999997</v>
      </c>
      <c r="G12" s="75">
        <v>515978.4</v>
      </c>
      <c r="H12" s="56">
        <f>H59</f>
        <v>677012.72</v>
      </c>
    </row>
    <row r="13" spans="1:8" x14ac:dyDescent="0.25">
      <c r="A13" s="47" t="s">
        <v>18</v>
      </c>
      <c r="B13" s="47" t="s">
        <v>19</v>
      </c>
      <c r="C13" s="75">
        <v>234696</v>
      </c>
      <c r="G13" s="75">
        <v>-234696</v>
      </c>
      <c r="H13" s="56">
        <f>H63</f>
        <v>469392</v>
      </c>
    </row>
    <row r="14" spans="1:8" x14ac:dyDescent="0.25">
      <c r="A14" s="48" t="s">
        <v>20</v>
      </c>
      <c r="B14" s="48" t="s">
        <v>21</v>
      </c>
      <c r="C14" s="76">
        <v>14440366.92</v>
      </c>
      <c r="D14" s="76">
        <v>32607658.98</v>
      </c>
      <c r="E14" s="76">
        <v>55.71</v>
      </c>
      <c r="F14" s="76">
        <v>44.29</v>
      </c>
      <c r="G14" s="76">
        <v>18167292.059999999</v>
      </c>
      <c r="H14" s="73">
        <f>SUM(H11:H13)</f>
        <v>27847482.334952131</v>
      </c>
    </row>
    <row r="15" spans="1:8" x14ac:dyDescent="0.25">
      <c r="A15" s="47" t="s">
        <v>12</v>
      </c>
      <c r="B15" s="47" t="s">
        <v>12</v>
      </c>
    </row>
    <row r="16" spans="1:8" x14ac:dyDescent="0.25">
      <c r="A16" s="48" t="s">
        <v>12</v>
      </c>
      <c r="B16" s="48" t="s">
        <v>22</v>
      </c>
      <c r="C16" s="76"/>
      <c r="D16" s="76"/>
      <c r="E16" s="76"/>
      <c r="F16" s="76"/>
      <c r="G16" s="76"/>
      <c r="H16" s="73"/>
    </row>
    <row r="17" spans="1:8" x14ac:dyDescent="0.25">
      <c r="A17" s="47" t="s">
        <v>23</v>
      </c>
      <c r="B17" s="47" t="s">
        <v>24</v>
      </c>
    </row>
    <row r="18" spans="1:8" x14ac:dyDescent="0.25">
      <c r="A18" s="47" t="s">
        <v>25</v>
      </c>
      <c r="B18" s="47" t="s">
        <v>26</v>
      </c>
      <c r="C18" s="75">
        <v>-13544.87</v>
      </c>
      <c r="G18" s="75">
        <v>13544.87</v>
      </c>
      <c r="H18" s="56">
        <f>H77</f>
        <v>-13544.869999999999</v>
      </c>
    </row>
    <row r="19" spans="1:8" x14ac:dyDescent="0.25">
      <c r="A19" s="47" t="s">
        <v>27</v>
      </c>
      <c r="B19" s="47" t="s">
        <v>28</v>
      </c>
    </row>
    <row r="20" spans="1:8" x14ac:dyDescent="0.25">
      <c r="A20" s="47" t="s">
        <v>12</v>
      </c>
      <c r="B20" s="47" t="s">
        <v>12</v>
      </c>
    </row>
    <row r="21" spans="1:8" x14ac:dyDescent="0.25">
      <c r="A21" s="47" t="s">
        <v>29</v>
      </c>
      <c r="B21" s="47" t="s">
        <v>30</v>
      </c>
      <c r="C21" s="75">
        <v>-11387058.869999999</v>
      </c>
      <c r="D21" s="75">
        <v>-21717043.949999999</v>
      </c>
      <c r="E21" s="75">
        <v>47.57</v>
      </c>
      <c r="F21" s="75">
        <v>52.43</v>
      </c>
      <c r="G21" s="75">
        <v>-10329985.08</v>
      </c>
      <c r="H21" s="56">
        <f>H123</f>
        <v>-20640258.600000001</v>
      </c>
    </row>
    <row r="22" spans="1:8" x14ac:dyDescent="0.25">
      <c r="A22" s="48" t="s">
        <v>31</v>
      </c>
      <c r="B22" s="48" t="s">
        <v>32</v>
      </c>
      <c r="C22" s="76">
        <v>-11400603.74</v>
      </c>
      <c r="D22" s="76">
        <v>-21717043.949999999</v>
      </c>
      <c r="E22" s="76">
        <v>47.5</v>
      </c>
      <c r="F22" s="76">
        <v>52.5</v>
      </c>
      <c r="G22" s="76">
        <v>-10316440.210000001</v>
      </c>
      <c r="H22" s="73">
        <f>H21</f>
        <v>-20640258.600000001</v>
      </c>
    </row>
    <row r="23" spans="1:8" x14ac:dyDescent="0.25">
      <c r="A23" s="47" t="s">
        <v>12</v>
      </c>
      <c r="B23" s="47" t="s">
        <v>12</v>
      </c>
    </row>
    <row r="24" spans="1:8" x14ac:dyDescent="0.25">
      <c r="A24" s="47" t="s">
        <v>33</v>
      </c>
      <c r="B24" s="47" t="s">
        <v>34</v>
      </c>
      <c r="C24" s="75">
        <v>45141.36</v>
      </c>
      <c r="D24" s="75">
        <v>165880</v>
      </c>
      <c r="E24" s="75">
        <v>72.790000000000006</v>
      </c>
      <c r="F24" s="75">
        <v>27.21</v>
      </c>
      <c r="G24" s="75">
        <v>120738.64</v>
      </c>
      <c r="H24" s="56">
        <f>H136</f>
        <v>186381.36</v>
      </c>
    </row>
    <row r="25" spans="1:8" x14ac:dyDescent="0.25">
      <c r="A25" s="47" t="s">
        <v>35</v>
      </c>
      <c r="B25" s="47" t="s">
        <v>36</v>
      </c>
      <c r="C25" s="75">
        <v>-3975625.61</v>
      </c>
      <c r="D25" s="75">
        <v>-8767358.3300000001</v>
      </c>
      <c r="E25" s="75">
        <v>54.65</v>
      </c>
      <c r="F25" s="75">
        <v>45.35</v>
      </c>
      <c r="G25" s="75">
        <v>-4791732.72</v>
      </c>
      <c r="H25" s="56">
        <f>H198</f>
        <v>-9840222.4541999996</v>
      </c>
    </row>
    <row r="26" spans="1:8" x14ac:dyDescent="0.25">
      <c r="A26" s="47" t="s">
        <v>37</v>
      </c>
      <c r="B26" s="47" t="s">
        <v>38</v>
      </c>
      <c r="C26" s="75">
        <v>-1665</v>
      </c>
      <c r="G26" s="75">
        <v>1665</v>
      </c>
      <c r="H26" s="56">
        <f>H209</f>
        <v>-1665</v>
      </c>
    </row>
    <row r="27" spans="1:8" x14ac:dyDescent="0.25">
      <c r="A27" s="47" t="s">
        <v>39</v>
      </c>
      <c r="B27" s="47" t="s">
        <v>40</v>
      </c>
      <c r="C27" s="75">
        <v>-2563.59</v>
      </c>
      <c r="D27" s="75">
        <v>-161448</v>
      </c>
      <c r="E27" s="75">
        <v>98.41</v>
      </c>
      <c r="F27" s="75">
        <v>1.59</v>
      </c>
      <c r="G27" s="75">
        <v>-158884.41</v>
      </c>
      <c r="H27" s="56">
        <f>H219</f>
        <v>-2563.59</v>
      </c>
    </row>
    <row r="28" spans="1:8" x14ac:dyDescent="0.25">
      <c r="A28" s="47" t="s">
        <v>41</v>
      </c>
      <c r="B28" s="47" t="s">
        <v>42</v>
      </c>
      <c r="H28" s="56">
        <f>H223</f>
        <v>0</v>
      </c>
    </row>
    <row r="29" spans="1:8" x14ac:dyDescent="0.25">
      <c r="A29" s="47" t="s">
        <v>43</v>
      </c>
      <c r="B29" s="47" t="s">
        <v>44</v>
      </c>
      <c r="H29" s="56">
        <f>H227</f>
        <v>0</v>
      </c>
    </row>
    <row r="30" spans="1:8" x14ac:dyDescent="0.25">
      <c r="A30" s="47" t="s">
        <v>12</v>
      </c>
      <c r="B30" s="47" t="s">
        <v>12</v>
      </c>
    </row>
    <row r="31" spans="1:8" ht="15.75" thickBot="1" x14ac:dyDescent="0.3">
      <c r="A31" s="49" t="s">
        <v>45</v>
      </c>
      <c r="B31" s="49" t="s">
        <v>46</v>
      </c>
      <c r="C31" s="77">
        <v>-894949.66</v>
      </c>
      <c r="D31" s="77">
        <v>2127688.7000000002</v>
      </c>
      <c r="E31" s="77">
        <v>142.06</v>
      </c>
      <c r="F31" s="77">
        <v>-42.06</v>
      </c>
      <c r="G31" s="77">
        <v>3022638.36</v>
      </c>
      <c r="H31" s="74">
        <f>H14+H18+H22+H24+H25+H26+H27</f>
        <v>-2464390.8192478707</v>
      </c>
    </row>
    <row r="32" spans="1:8" ht="15.75" thickTop="1" x14ac:dyDescent="0.25">
      <c r="A32" s="47" t="s">
        <v>12</v>
      </c>
      <c r="B32" s="47" t="s">
        <v>12</v>
      </c>
    </row>
    <row r="33" spans="1:8" x14ac:dyDescent="0.25">
      <c r="A33" s="47" t="s">
        <v>47</v>
      </c>
      <c r="B33" s="47" t="s">
        <v>48</v>
      </c>
      <c r="C33" s="75">
        <v>-622020.93999999994</v>
      </c>
      <c r="D33" s="75">
        <v>-1616471.17</v>
      </c>
      <c r="E33" s="75">
        <v>61.52</v>
      </c>
      <c r="F33" s="75">
        <v>38.479999999999997</v>
      </c>
      <c r="G33" s="75">
        <v>-994450.23</v>
      </c>
      <c r="H33" s="56">
        <f>H243</f>
        <v>-1219411.71</v>
      </c>
    </row>
    <row r="34" spans="1:8" x14ac:dyDescent="0.25">
      <c r="A34" s="47" t="s">
        <v>12</v>
      </c>
      <c r="B34" s="47" t="s">
        <v>12</v>
      </c>
    </row>
    <row r="35" spans="1:8" ht="15.75" thickBot="1" x14ac:dyDescent="0.3">
      <c r="A35" s="49" t="s">
        <v>12</v>
      </c>
      <c r="B35" s="49" t="s">
        <v>49</v>
      </c>
      <c r="C35" s="77">
        <v>-1516970.6</v>
      </c>
      <c r="D35" s="77">
        <v>511217.53</v>
      </c>
      <c r="E35" s="77">
        <v>396.74</v>
      </c>
      <c r="F35" s="77">
        <v>-296.74</v>
      </c>
      <c r="G35" s="77">
        <v>2028188.13</v>
      </c>
      <c r="H35" s="74">
        <f>H31+H33</f>
        <v>-3683802.5292478707</v>
      </c>
    </row>
    <row r="36" spans="1:8" ht="15.75" thickTop="1" x14ac:dyDescent="0.25">
      <c r="A36" s="47" t="s">
        <v>12</v>
      </c>
      <c r="B36" s="47" t="s">
        <v>12</v>
      </c>
    </row>
    <row r="37" spans="1:8" x14ac:dyDescent="0.25">
      <c r="A37" s="48" t="s">
        <v>12</v>
      </c>
      <c r="B37" s="48" t="s">
        <v>50</v>
      </c>
      <c r="C37" s="76"/>
      <c r="D37" s="76"/>
      <c r="E37" s="76"/>
      <c r="F37" s="76"/>
      <c r="G37" s="76"/>
      <c r="H37" s="73"/>
    </row>
    <row r="38" spans="1:8" x14ac:dyDescent="0.25">
      <c r="A38" s="47" t="s">
        <v>12</v>
      </c>
      <c r="B38" s="47" t="s">
        <v>12</v>
      </c>
    </row>
    <row r="39" spans="1:8" x14ac:dyDescent="0.25">
      <c r="A39" s="48" t="s">
        <v>51</v>
      </c>
      <c r="B39" s="48" t="s">
        <v>52</v>
      </c>
      <c r="C39" s="76"/>
      <c r="D39" s="76"/>
      <c r="E39" s="76"/>
      <c r="F39" s="76"/>
      <c r="G39" s="76"/>
      <c r="H39" s="73"/>
    </row>
    <row r="40" spans="1:8" x14ac:dyDescent="0.25">
      <c r="A40" s="47" t="s">
        <v>53</v>
      </c>
      <c r="B40" s="47" t="s">
        <v>54</v>
      </c>
      <c r="C40" s="75">
        <v>12412018.460000001</v>
      </c>
      <c r="D40" s="75">
        <v>27956326.399999999</v>
      </c>
      <c r="E40" s="75">
        <v>55.6</v>
      </c>
      <c r="F40" s="75">
        <v>44.4</v>
      </c>
      <c r="G40" s="75">
        <v>15544307.939999999</v>
      </c>
      <c r="H40" s="56">
        <f>Taksameter!B9</f>
        <v>23855836.665381402</v>
      </c>
    </row>
    <row r="41" spans="1:8" x14ac:dyDescent="0.25">
      <c r="A41" s="47" t="s">
        <v>55</v>
      </c>
      <c r="B41" s="47" t="s">
        <v>56</v>
      </c>
      <c r="C41" s="75">
        <v>26055.91</v>
      </c>
      <c r="D41" s="75">
        <v>1479630</v>
      </c>
      <c r="E41" s="75">
        <v>98.24</v>
      </c>
      <c r="F41" s="75">
        <v>1.76</v>
      </c>
      <c r="G41" s="75">
        <v>1453574.09</v>
      </c>
      <c r="H41" s="56">
        <f>Taksameter!B23</f>
        <v>555050.80957072892</v>
      </c>
    </row>
    <row r="42" spans="1:8" x14ac:dyDescent="0.25">
      <c r="A42" s="47" t="s">
        <v>57</v>
      </c>
      <c r="B42" s="47" t="s">
        <v>58</v>
      </c>
      <c r="C42" s="75">
        <v>46146.879999999997</v>
      </c>
      <c r="G42" s="75">
        <v>-46146.879999999997</v>
      </c>
    </row>
    <row r="43" spans="1:8" x14ac:dyDescent="0.25">
      <c r="A43" s="47" t="s">
        <v>59</v>
      </c>
      <c r="B43" s="47" t="s">
        <v>60</v>
      </c>
      <c r="C43" s="75">
        <v>4126.26</v>
      </c>
      <c r="D43" s="75">
        <v>41540.910000000003</v>
      </c>
      <c r="E43" s="75">
        <v>90.07</v>
      </c>
      <c r="F43" s="75">
        <v>9.93</v>
      </c>
      <c r="G43" s="75">
        <v>37414.65</v>
      </c>
    </row>
    <row r="44" spans="1:8" x14ac:dyDescent="0.25">
      <c r="A44" s="47" t="s">
        <v>61</v>
      </c>
      <c r="B44" s="47" t="s">
        <v>62</v>
      </c>
      <c r="C44" s="75">
        <v>880710</v>
      </c>
      <c r="D44" s="75">
        <v>1761420</v>
      </c>
      <c r="E44" s="75">
        <v>50</v>
      </c>
      <c r="F44" s="75">
        <v>50</v>
      </c>
      <c r="G44" s="75">
        <v>880710</v>
      </c>
      <c r="H44" s="56">
        <v>1761420</v>
      </c>
    </row>
    <row r="45" spans="1:8" x14ac:dyDescent="0.25">
      <c r="A45" s="47" t="s">
        <v>63</v>
      </c>
      <c r="B45" s="47" t="s">
        <v>64</v>
      </c>
      <c r="C45" s="75">
        <v>528770.14</v>
      </c>
      <c r="D45" s="75">
        <v>544920</v>
      </c>
      <c r="E45" s="75">
        <v>2.96</v>
      </c>
      <c r="F45" s="75">
        <v>97.04</v>
      </c>
      <c r="G45" s="75">
        <v>16149.86</v>
      </c>
      <c r="H45" s="56">
        <f>C45</f>
        <v>528770.14</v>
      </c>
    </row>
    <row r="46" spans="1:8" x14ac:dyDescent="0.25">
      <c r="A46" s="48" t="s">
        <v>65</v>
      </c>
      <c r="B46" s="48" t="s">
        <v>66</v>
      </c>
      <c r="C46" s="76">
        <v>13897827.65</v>
      </c>
      <c r="D46" s="76">
        <v>31783837.309999999</v>
      </c>
      <c r="E46" s="76">
        <v>56.27</v>
      </c>
      <c r="F46" s="76">
        <v>43.73</v>
      </c>
      <c r="G46" s="76">
        <v>17886009.66</v>
      </c>
      <c r="H46" s="73">
        <f>SUM(H40:H45)</f>
        <v>26701077.614952132</v>
      </c>
    </row>
    <row r="47" spans="1:8" x14ac:dyDescent="0.25">
      <c r="A47" s="47" t="s">
        <v>12</v>
      </c>
      <c r="B47" s="47" t="s">
        <v>12</v>
      </c>
    </row>
    <row r="48" spans="1:8" x14ac:dyDescent="0.25">
      <c r="A48" s="48" t="s">
        <v>67</v>
      </c>
      <c r="B48" s="48" t="s">
        <v>68</v>
      </c>
      <c r="C48" s="76"/>
      <c r="D48" s="76"/>
      <c r="E48" s="76"/>
      <c r="F48" s="76"/>
      <c r="G48" s="76"/>
      <c r="H48" s="73"/>
    </row>
    <row r="49" spans="1:8" x14ac:dyDescent="0.25">
      <c r="A49" s="47" t="s">
        <v>69</v>
      </c>
      <c r="B49" s="47" t="s">
        <v>70</v>
      </c>
    </row>
    <row r="50" spans="1:8" x14ac:dyDescent="0.25">
      <c r="A50" s="47" t="s">
        <v>71</v>
      </c>
      <c r="B50" s="47" t="s">
        <v>72</v>
      </c>
      <c r="C50" s="75">
        <v>69653.119999999995</v>
      </c>
      <c r="G50" s="75">
        <v>-69653.119999999995</v>
      </c>
      <c r="H50" s="56">
        <v>116939.12</v>
      </c>
    </row>
    <row r="51" spans="1:8" x14ac:dyDescent="0.25">
      <c r="A51" s="47" t="s">
        <v>73</v>
      </c>
      <c r="B51" s="47" t="s">
        <v>74</v>
      </c>
      <c r="D51" s="75">
        <v>301747</v>
      </c>
      <c r="E51" s="75">
        <v>100</v>
      </c>
      <c r="G51" s="75">
        <v>301747</v>
      </c>
      <c r="H51" s="56">
        <v>0</v>
      </c>
    </row>
    <row r="52" spans="1:8" x14ac:dyDescent="0.25">
      <c r="A52" s="47" t="s">
        <v>75</v>
      </c>
      <c r="B52" s="47" t="s">
        <v>76</v>
      </c>
      <c r="C52" s="75">
        <v>27187.5</v>
      </c>
      <c r="G52" s="75">
        <v>-27187.5</v>
      </c>
      <c r="H52" s="56">
        <f>C52</f>
        <v>27187.5</v>
      </c>
    </row>
    <row r="53" spans="1:8" x14ac:dyDescent="0.25">
      <c r="A53" s="47" t="s">
        <v>77</v>
      </c>
      <c r="B53" s="47" t="s">
        <v>78</v>
      </c>
      <c r="D53" s="75">
        <v>16000</v>
      </c>
      <c r="E53" s="75">
        <v>100</v>
      </c>
      <c r="G53" s="75">
        <v>16000</v>
      </c>
      <c r="H53" s="56">
        <v>16000</v>
      </c>
    </row>
    <row r="54" spans="1:8" x14ac:dyDescent="0.25">
      <c r="A54" s="47" t="s">
        <v>79</v>
      </c>
      <c r="B54" s="47" t="s">
        <v>80</v>
      </c>
    </row>
    <row r="55" spans="1:8" x14ac:dyDescent="0.25">
      <c r="A55" s="47" t="s">
        <v>81</v>
      </c>
      <c r="B55" s="47" t="s">
        <v>82</v>
      </c>
      <c r="C55" s="75">
        <v>188173</v>
      </c>
      <c r="D55" s="75">
        <v>6074.67</v>
      </c>
      <c r="E55" s="75">
        <v>-2997.67</v>
      </c>
      <c r="F55" s="75">
        <v>3097.67</v>
      </c>
      <c r="G55" s="75">
        <v>-182098.33</v>
      </c>
      <c r="H55" s="56">
        <v>12432</v>
      </c>
    </row>
    <row r="56" spans="1:8" x14ac:dyDescent="0.25">
      <c r="A56" s="47" t="s">
        <v>83</v>
      </c>
      <c r="B56" s="47" t="s">
        <v>84</v>
      </c>
      <c r="C56" s="75">
        <v>18375.55</v>
      </c>
      <c r="D56" s="75">
        <v>500000</v>
      </c>
      <c r="E56" s="75">
        <v>96.32</v>
      </c>
      <c r="F56" s="75">
        <v>3.68</v>
      </c>
      <c r="G56" s="75">
        <v>481624.45</v>
      </c>
      <c r="H56" s="78">
        <v>500000</v>
      </c>
    </row>
    <row r="57" spans="1:8" x14ac:dyDescent="0.25">
      <c r="A57" s="47" t="s">
        <v>85</v>
      </c>
      <c r="B57" s="47" t="s">
        <v>86</v>
      </c>
    </row>
    <row r="58" spans="1:8" x14ac:dyDescent="0.25">
      <c r="A58" s="47" t="s">
        <v>87</v>
      </c>
      <c r="B58" s="47" t="s">
        <v>88</v>
      </c>
      <c r="C58" s="75">
        <v>4454.1000000000004</v>
      </c>
      <c r="G58" s="75">
        <v>-4454.1000000000004</v>
      </c>
      <c r="H58" s="56">
        <v>4454.1000000000004</v>
      </c>
    </row>
    <row r="59" spans="1:8" x14ac:dyDescent="0.25">
      <c r="A59" s="48" t="s">
        <v>89</v>
      </c>
      <c r="B59" s="48" t="s">
        <v>17</v>
      </c>
      <c r="C59" s="76">
        <v>307843.27</v>
      </c>
      <c r="D59" s="76">
        <v>823821.67</v>
      </c>
      <c r="E59" s="76">
        <v>62.63</v>
      </c>
      <c r="F59" s="76">
        <v>37.369999999999997</v>
      </c>
      <c r="G59" s="76">
        <v>515978.4</v>
      </c>
      <c r="H59" s="73">
        <f>SUM(H49:H58)</f>
        <v>677012.72</v>
      </c>
    </row>
    <row r="60" spans="1:8" x14ac:dyDescent="0.25">
      <c r="A60" s="47" t="s">
        <v>12</v>
      </c>
      <c r="B60" s="47" t="s">
        <v>12</v>
      </c>
    </row>
    <row r="61" spans="1:8" x14ac:dyDescent="0.25">
      <c r="A61" s="48" t="s">
        <v>90</v>
      </c>
      <c r="B61" s="48" t="s">
        <v>91</v>
      </c>
      <c r="C61" s="76"/>
      <c r="D61" s="76"/>
      <c r="E61" s="76"/>
      <c r="F61" s="76"/>
      <c r="G61" s="76"/>
      <c r="H61" s="73"/>
    </row>
    <row r="62" spans="1:8" x14ac:dyDescent="0.25">
      <c r="A62" s="47" t="s">
        <v>92</v>
      </c>
      <c r="B62" s="47" t="s">
        <v>93</v>
      </c>
      <c r="C62" s="75">
        <v>234696</v>
      </c>
      <c r="G62" s="75">
        <v>-234696</v>
      </c>
      <c r="H62" s="56">
        <f>C62*2</f>
        <v>469392</v>
      </c>
    </row>
    <row r="63" spans="1:8" x14ac:dyDescent="0.25">
      <c r="A63" s="48" t="s">
        <v>94</v>
      </c>
      <c r="B63" s="48" t="s">
        <v>95</v>
      </c>
      <c r="C63" s="76">
        <v>234696</v>
      </c>
      <c r="D63" s="76"/>
      <c r="E63" s="76"/>
      <c r="F63" s="76"/>
      <c r="G63" s="76">
        <v>-234696</v>
      </c>
      <c r="H63" s="73">
        <f>H62</f>
        <v>469392</v>
      </c>
    </row>
    <row r="64" spans="1:8" x14ac:dyDescent="0.25">
      <c r="A64" s="47" t="s">
        <v>12</v>
      </c>
      <c r="B64" s="47" t="s">
        <v>12</v>
      </c>
    </row>
    <row r="65" spans="1:8" x14ac:dyDescent="0.25">
      <c r="A65" s="48" t="s">
        <v>96</v>
      </c>
      <c r="B65" s="48" t="s">
        <v>97</v>
      </c>
      <c r="C65" s="76">
        <v>14440366.92</v>
      </c>
      <c r="D65" s="76">
        <v>32607658.98</v>
      </c>
      <c r="E65" s="76">
        <v>55.71</v>
      </c>
      <c r="F65" s="76">
        <v>44.29</v>
      </c>
      <c r="G65" s="76">
        <v>18167292.059999999</v>
      </c>
      <c r="H65" s="73">
        <f>H63+H59+H46</f>
        <v>27847482.334952131</v>
      </c>
    </row>
    <row r="66" spans="1:8" x14ac:dyDescent="0.25">
      <c r="A66" s="47" t="s">
        <v>12</v>
      </c>
      <c r="B66" s="47" t="s">
        <v>12</v>
      </c>
    </row>
    <row r="67" spans="1:8" x14ac:dyDescent="0.25">
      <c r="A67" s="48" t="s">
        <v>98</v>
      </c>
      <c r="B67" s="48" t="s">
        <v>99</v>
      </c>
      <c r="C67" s="76"/>
      <c r="D67" s="76"/>
      <c r="E67" s="76"/>
      <c r="F67" s="76"/>
      <c r="G67" s="76"/>
      <c r="H67" s="73"/>
    </row>
    <row r="68" spans="1:8" x14ac:dyDescent="0.25">
      <c r="A68" s="47" t="s">
        <v>100</v>
      </c>
      <c r="B68" s="47" t="s">
        <v>101</v>
      </c>
    </row>
    <row r="69" spans="1:8" x14ac:dyDescent="0.25">
      <c r="A69" s="47" t="s">
        <v>102</v>
      </c>
      <c r="B69" s="47" t="s">
        <v>103</v>
      </c>
    </row>
    <row r="70" spans="1:8" x14ac:dyDescent="0.25">
      <c r="A70" s="48" t="s">
        <v>104</v>
      </c>
      <c r="B70" s="48" t="s">
        <v>105</v>
      </c>
      <c r="C70" s="76"/>
      <c r="D70" s="76"/>
      <c r="E70" s="76"/>
      <c r="F70" s="76"/>
      <c r="G70" s="76"/>
      <c r="H70" s="73"/>
    </row>
    <row r="71" spans="1:8" x14ac:dyDescent="0.25">
      <c r="A71" s="47" t="s">
        <v>12</v>
      </c>
      <c r="B71" s="47" t="s">
        <v>12</v>
      </c>
    </row>
    <row r="72" spans="1:8" x14ac:dyDescent="0.25">
      <c r="A72" s="48" t="s">
        <v>106</v>
      </c>
      <c r="B72" s="48" t="s">
        <v>107</v>
      </c>
      <c r="C72" s="76"/>
      <c r="D72" s="76"/>
      <c r="E72" s="76"/>
      <c r="F72" s="76"/>
      <c r="G72" s="76"/>
      <c r="H72" s="73"/>
    </row>
    <row r="73" spans="1:8" x14ac:dyDescent="0.25">
      <c r="A73" s="47" t="s">
        <v>108</v>
      </c>
      <c r="B73" s="47" t="s">
        <v>109</v>
      </c>
    </row>
    <row r="74" spans="1:8" x14ac:dyDescent="0.25">
      <c r="A74" s="47" t="s">
        <v>110</v>
      </c>
      <c r="B74" s="47" t="s">
        <v>111</v>
      </c>
      <c r="C74" s="75">
        <v>-10796.67</v>
      </c>
      <c r="G74" s="75">
        <v>10796.67</v>
      </c>
      <c r="H74" s="56">
        <v>-10796.67</v>
      </c>
    </row>
    <row r="75" spans="1:8" x14ac:dyDescent="0.25">
      <c r="A75" s="47" t="s">
        <v>112</v>
      </c>
      <c r="B75" s="47" t="s">
        <v>113</v>
      </c>
    </row>
    <row r="76" spans="1:8" x14ac:dyDescent="0.25">
      <c r="A76" s="47" t="s">
        <v>114</v>
      </c>
      <c r="B76" s="47" t="s">
        <v>115</v>
      </c>
      <c r="C76" s="75">
        <v>-2748.2</v>
      </c>
      <c r="G76" s="75">
        <v>2748.2</v>
      </c>
      <c r="H76" s="56">
        <v>-2748.2</v>
      </c>
    </row>
    <row r="77" spans="1:8" x14ac:dyDescent="0.25">
      <c r="A77" s="48" t="s">
        <v>116</v>
      </c>
      <c r="B77" s="48" t="s">
        <v>117</v>
      </c>
      <c r="C77" s="76">
        <v>-13544.87</v>
      </c>
      <c r="D77" s="76"/>
      <c r="E77" s="76"/>
      <c r="F77" s="76"/>
      <c r="G77" s="76">
        <v>13544.87</v>
      </c>
      <c r="H77" s="73">
        <f>SUM(H73:H76)</f>
        <v>-13544.869999999999</v>
      </c>
    </row>
    <row r="78" spans="1:8" x14ac:dyDescent="0.25">
      <c r="A78" s="47" t="s">
        <v>12</v>
      </c>
      <c r="B78" s="47" t="s">
        <v>12</v>
      </c>
    </row>
    <row r="79" spans="1:8" x14ac:dyDescent="0.25">
      <c r="A79" s="48" t="s">
        <v>118</v>
      </c>
      <c r="B79" s="48" t="s">
        <v>119</v>
      </c>
      <c r="C79" s="76"/>
      <c r="D79" s="76"/>
      <c r="E79" s="76"/>
      <c r="F79" s="76"/>
      <c r="G79" s="76"/>
      <c r="H79" s="73"/>
    </row>
    <row r="80" spans="1:8" x14ac:dyDescent="0.25">
      <c r="A80" s="47" t="s">
        <v>120</v>
      </c>
      <c r="B80" s="47" t="s">
        <v>121</v>
      </c>
    </row>
    <row r="81" spans="1:8" x14ac:dyDescent="0.25">
      <c r="A81" s="47" t="s">
        <v>122</v>
      </c>
      <c r="B81" s="47" t="s">
        <v>123</v>
      </c>
    </row>
    <row r="82" spans="1:8" x14ac:dyDescent="0.25">
      <c r="A82" s="48" t="s">
        <v>124</v>
      </c>
      <c r="B82" s="48" t="s">
        <v>125</v>
      </c>
      <c r="C82" s="76"/>
      <c r="D82" s="76"/>
      <c r="E82" s="76"/>
      <c r="F82" s="76"/>
      <c r="G82" s="76"/>
      <c r="H82" s="73">
        <f>H80+H81</f>
        <v>0</v>
      </c>
    </row>
    <row r="83" spans="1:8" x14ac:dyDescent="0.25">
      <c r="A83" s="47" t="s">
        <v>12</v>
      </c>
      <c r="B83" s="47" t="s">
        <v>12</v>
      </c>
    </row>
    <row r="84" spans="1:8" x14ac:dyDescent="0.25">
      <c r="A84" s="48" t="s">
        <v>126</v>
      </c>
      <c r="B84" s="48" t="s">
        <v>30</v>
      </c>
      <c r="C84" s="76"/>
      <c r="D84" s="76"/>
      <c r="E84" s="76"/>
      <c r="F84" s="76"/>
      <c r="G84" s="76"/>
      <c r="H84" s="73"/>
    </row>
    <row r="85" spans="1:8" x14ac:dyDescent="0.25">
      <c r="A85" s="47" t="s">
        <v>127</v>
      </c>
      <c r="B85" s="47" t="s">
        <v>128</v>
      </c>
    </row>
    <row r="86" spans="1:8" x14ac:dyDescent="0.25">
      <c r="A86" s="47" t="s">
        <v>129</v>
      </c>
      <c r="B86" s="47" t="s">
        <v>130</v>
      </c>
      <c r="D86" s="75">
        <v>-199368</v>
      </c>
      <c r="E86" s="75">
        <v>100</v>
      </c>
      <c r="G86" s="75">
        <v>-199368</v>
      </c>
      <c r="H86" s="56">
        <v>0</v>
      </c>
    </row>
    <row r="87" spans="1:8" x14ac:dyDescent="0.25">
      <c r="A87" s="47" t="s">
        <v>131</v>
      </c>
      <c r="B87" s="47" t="s">
        <v>132</v>
      </c>
    </row>
    <row r="88" spans="1:8" x14ac:dyDescent="0.25">
      <c r="A88" s="47" t="s">
        <v>133</v>
      </c>
      <c r="B88" s="47" t="s">
        <v>134</v>
      </c>
      <c r="C88" s="75">
        <v>-14970.03</v>
      </c>
      <c r="G88" s="75">
        <v>14970.03</v>
      </c>
      <c r="H88" s="56">
        <v>-14970.03</v>
      </c>
    </row>
    <row r="89" spans="1:8" x14ac:dyDescent="0.25">
      <c r="A89" s="47" t="s">
        <v>135</v>
      </c>
      <c r="B89" s="47" t="s">
        <v>136</v>
      </c>
      <c r="C89" s="75">
        <v>14970.03</v>
      </c>
      <c r="G89" s="75">
        <v>-14970.03</v>
      </c>
      <c r="H89" s="56">
        <v>14970.03</v>
      </c>
    </row>
    <row r="90" spans="1:8" x14ac:dyDescent="0.25">
      <c r="A90" s="47" t="s">
        <v>137</v>
      </c>
      <c r="B90" s="47" t="s">
        <v>138</v>
      </c>
      <c r="C90" s="75">
        <v>-11029895.99</v>
      </c>
      <c r="D90" s="75">
        <v>-20602057.399999999</v>
      </c>
      <c r="E90" s="75">
        <v>46.46</v>
      </c>
      <c r="F90" s="75">
        <v>53.54</v>
      </c>
      <c r="G90" s="75">
        <v>-9572161.4100000001</v>
      </c>
      <c r="H90" s="56">
        <f>-19044487.02-301310</f>
        <v>-19345797.02</v>
      </c>
    </row>
    <row r="91" spans="1:8" x14ac:dyDescent="0.25">
      <c r="A91" s="47" t="s">
        <v>139</v>
      </c>
      <c r="B91" s="47" t="s">
        <v>140</v>
      </c>
    </row>
    <row r="92" spans="1:8" x14ac:dyDescent="0.25">
      <c r="A92" s="47" t="s">
        <v>141</v>
      </c>
      <c r="B92" s="47" t="s">
        <v>142</v>
      </c>
    </row>
    <row r="93" spans="1:8" x14ac:dyDescent="0.25">
      <c r="A93" s="47" t="s">
        <v>143</v>
      </c>
      <c r="B93" s="47" t="s">
        <v>144</v>
      </c>
    </row>
    <row r="94" spans="1:8" x14ac:dyDescent="0.25">
      <c r="A94" s="47" t="s">
        <v>145</v>
      </c>
      <c r="B94" s="47" t="s">
        <v>146</v>
      </c>
    </row>
    <row r="95" spans="1:8" x14ac:dyDescent="0.25">
      <c r="A95" s="47" t="s">
        <v>147</v>
      </c>
      <c r="B95" s="47" t="s">
        <v>148</v>
      </c>
      <c r="C95" s="75">
        <v>-116939.12</v>
      </c>
      <c r="G95" s="75">
        <v>116939.12</v>
      </c>
      <c r="H95" s="56">
        <v>-116939.12</v>
      </c>
    </row>
    <row r="96" spans="1:8" x14ac:dyDescent="0.25">
      <c r="A96" s="47" t="s">
        <v>149</v>
      </c>
      <c r="B96" s="47" t="s">
        <v>150</v>
      </c>
    </row>
    <row r="97" spans="1:8" x14ac:dyDescent="0.25">
      <c r="A97" s="47" t="s">
        <v>151</v>
      </c>
      <c r="B97" s="47" t="s">
        <v>152</v>
      </c>
    </row>
    <row r="98" spans="1:8" x14ac:dyDescent="0.25">
      <c r="A98" s="47" t="s">
        <v>153</v>
      </c>
      <c r="B98" s="47" t="s">
        <v>154</v>
      </c>
    </row>
    <row r="99" spans="1:8" x14ac:dyDescent="0.25">
      <c r="A99" s="47" t="s">
        <v>155</v>
      </c>
      <c r="B99" s="47" t="s">
        <v>156</v>
      </c>
    </row>
    <row r="100" spans="1:8" x14ac:dyDescent="0.25">
      <c r="A100" s="47" t="s">
        <v>157</v>
      </c>
      <c r="B100" s="47" t="s">
        <v>158</v>
      </c>
    </row>
    <row r="101" spans="1:8" x14ac:dyDescent="0.25">
      <c r="A101" s="47" t="s">
        <v>159</v>
      </c>
      <c r="B101" s="47" t="s">
        <v>160</v>
      </c>
    </row>
    <row r="102" spans="1:8" x14ac:dyDescent="0.25">
      <c r="A102" s="47" t="s">
        <v>161</v>
      </c>
      <c r="B102" s="47" t="s">
        <v>162</v>
      </c>
    </row>
    <row r="103" spans="1:8" x14ac:dyDescent="0.25">
      <c r="A103" s="47" t="s">
        <v>163</v>
      </c>
      <c r="B103" s="47" t="s">
        <v>164</v>
      </c>
    </row>
    <row r="104" spans="1:8" x14ac:dyDescent="0.25">
      <c r="A104" s="47" t="s">
        <v>165</v>
      </c>
      <c r="B104" s="47" t="s">
        <v>166</v>
      </c>
    </row>
    <row r="105" spans="1:8" x14ac:dyDescent="0.25">
      <c r="A105" s="47" t="s">
        <v>167</v>
      </c>
      <c r="B105" s="47" t="s">
        <v>168</v>
      </c>
    </row>
    <row r="106" spans="1:8" x14ac:dyDescent="0.25">
      <c r="A106" s="47" t="s">
        <v>169</v>
      </c>
      <c r="B106" s="47" t="s">
        <v>170</v>
      </c>
    </row>
    <row r="107" spans="1:8" x14ac:dyDescent="0.25">
      <c r="A107" s="48" t="s">
        <v>171</v>
      </c>
      <c r="B107" s="48" t="s">
        <v>172</v>
      </c>
      <c r="C107" s="76">
        <v>-11146835.109999999</v>
      </c>
      <c r="D107" s="76">
        <v>-20801425.399999999</v>
      </c>
      <c r="E107" s="76">
        <v>46.41</v>
      </c>
      <c r="F107" s="76">
        <v>53.59</v>
      </c>
      <c r="G107" s="76">
        <v>-9654590.2899999991</v>
      </c>
      <c r="H107" s="73">
        <f>SUM(H85:H106)</f>
        <v>-19462736.140000001</v>
      </c>
    </row>
    <row r="108" spans="1:8" x14ac:dyDescent="0.25">
      <c r="A108" s="47" t="s">
        <v>12</v>
      </c>
      <c r="B108" s="47" t="s">
        <v>12</v>
      </c>
    </row>
    <row r="109" spans="1:8" x14ac:dyDescent="0.25">
      <c r="A109" s="48" t="s">
        <v>173</v>
      </c>
      <c r="B109" s="48" t="s">
        <v>174</v>
      </c>
      <c r="C109" s="76"/>
      <c r="D109" s="76"/>
      <c r="E109" s="76"/>
      <c r="F109" s="76"/>
      <c r="G109" s="76"/>
      <c r="H109" s="73"/>
    </row>
    <row r="110" spans="1:8" x14ac:dyDescent="0.25">
      <c r="A110" s="47" t="s">
        <v>175</v>
      </c>
      <c r="B110" s="47" t="s">
        <v>174</v>
      </c>
      <c r="C110" s="75">
        <v>-1858390.38</v>
      </c>
      <c r="D110" s="75">
        <v>-4081333.55</v>
      </c>
      <c r="E110" s="75">
        <v>54.47</v>
      </c>
      <c r="F110" s="75">
        <v>45.53</v>
      </c>
      <c r="G110" s="75">
        <v>-2222943.17</v>
      </c>
      <c r="H110" s="56">
        <v>-4037656.88</v>
      </c>
    </row>
    <row r="111" spans="1:8" x14ac:dyDescent="0.25">
      <c r="A111" s="47" t="s">
        <v>176</v>
      </c>
      <c r="B111" s="47" t="s">
        <v>177</v>
      </c>
    </row>
    <row r="112" spans="1:8" x14ac:dyDescent="0.25">
      <c r="A112" s="48" t="s">
        <v>178</v>
      </c>
      <c r="B112" s="48" t="s">
        <v>179</v>
      </c>
      <c r="C112" s="76">
        <v>-1858390.38</v>
      </c>
      <c r="D112" s="76">
        <v>-4081333.55</v>
      </c>
      <c r="E112" s="76">
        <v>54.47</v>
      </c>
      <c r="F112" s="76">
        <v>45.53</v>
      </c>
      <c r="G112" s="76">
        <v>-2222943.17</v>
      </c>
      <c r="H112" s="73">
        <f>H110+H111</f>
        <v>-4037656.88</v>
      </c>
    </row>
    <row r="113" spans="1:8" x14ac:dyDescent="0.25">
      <c r="A113" s="47" t="s">
        <v>12</v>
      </c>
      <c r="B113" s="47" t="s">
        <v>12</v>
      </c>
    </row>
    <row r="114" spans="1:8" x14ac:dyDescent="0.25">
      <c r="A114" s="48" t="s">
        <v>180</v>
      </c>
      <c r="B114" s="48" t="s">
        <v>181</v>
      </c>
      <c r="C114" s="76"/>
      <c r="D114" s="76"/>
      <c r="E114" s="76"/>
      <c r="F114" s="76"/>
      <c r="G114" s="76"/>
      <c r="H114" s="73"/>
    </row>
    <row r="115" spans="1:8" x14ac:dyDescent="0.25">
      <c r="A115" s="47" t="s">
        <v>182</v>
      </c>
      <c r="B115" s="47" t="s">
        <v>183</v>
      </c>
      <c r="C115" s="75">
        <v>1241967.8</v>
      </c>
      <c r="D115" s="75">
        <v>3165715</v>
      </c>
      <c r="E115" s="75">
        <v>60.77</v>
      </c>
      <c r="F115" s="75">
        <v>39.229999999999997</v>
      </c>
      <c r="G115" s="75">
        <v>1923747.2</v>
      </c>
      <c r="H115" s="56">
        <f>C115*2</f>
        <v>2483935.6</v>
      </c>
    </row>
    <row r="116" spans="1:8" x14ac:dyDescent="0.25">
      <c r="A116" s="47" t="s">
        <v>184</v>
      </c>
      <c r="B116" s="47" t="s">
        <v>185</v>
      </c>
      <c r="C116" s="75">
        <v>227770</v>
      </c>
      <c r="G116" s="75">
        <v>-227770</v>
      </c>
      <c r="H116" s="56">
        <f>C116</f>
        <v>227770</v>
      </c>
    </row>
    <row r="117" spans="1:8" x14ac:dyDescent="0.25">
      <c r="A117" s="47" t="s">
        <v>186</v>
      </c>
      <c r="B117" s="47" t="s">
        <v>187</v>
      </c>
    </row>
    <row r="118" spans="1:8" x14ac:dyDescent="0.25">
      <c r="A118" s="47" t="s">
        <v>188</v>
      </c>
      <c r="B118" s="47" t="s">
        <v>189</v>
      </c>
      <c r="C118" s="75">
        <v>26946.71</v>
      </c>
      <c r="G118" s="75">
        <v>-26946.71</v>
      </c>
      <c r="H118" s="56">
        <f>C118</f>
        <v>26946.71</v>
      </c>
    </row>
    <row r="119" spans="1:8" x14ac:dyDescent="0.25">
      <c r="A119" s="47" t="s">
        <v>190</v>
      </c>
      <c r="B119" s="47" t="s">
        <v>191</v>
      </c>
    </row>
    <row r="120" spans="1:8" x14ac:dyDescent="0.25">
      <c r="A120" s="47" t="s">
        <v>192</v>
      </c>
      <c r="B120" s="47" t="s">
        <v>193</v>
      </c>
    </row>
    <row r="121" spans="1:8" x14ac:dyDescent="0.25">
      <c r="A121" s="47" t="s">
        <v>194</v>
      </c>
      <c r="B121" s="47" t="s">
        <v>195</v>
      </c>
      <c r="C121" s="75">
        <v>121482.11</v>
      </c>
      <c r="G121" s="75">
        <v>-121482.11</v>
      </c>
      <c r="H121" s="56">
        <f>C121</f>
        <v>121482.11</v>
      </c>
    </row>
    <row r="122" spans="1:8" x14ac:dyDescent="0.25">
      <c r="A122" s="48" t="s">
        <v>196</v>
      </c>
      <c r="B122" s="48" t="s">
        <v>197</v>
      </c>
      <c r="C122" s="76">
        <v>1618166.62</v>
      </c>
      <c r="D122" s="76">
        <v>3165715</v>
      </c>
      <c r="E122" s="76">
        <v>48.88</v>
      </c>
      <c r="F122" s="76">
        <v>51.12</v>
      </c>
      <c r="G122" s="76">
        <v>1547548.38</v>
      </c>
      <c r="H122" s="73">
        <f>SUM(H115:H121)</f>
        <v>2860134.42</v>
      </c>
    </row>
    <row r="123" spans="1:8" x14ac:dyDescent="0.25">
      <c r="A123" s="48" t="s">
        <v>198</v>
      </c>
      <c r="B123" s="48" t="s">
        <v>199</v>
      </c>
      <c r="C123" s="76">
        <v>-11387058.869999999</v>
      </c>
      <c r="D123" s="76">
        <v>-21717043.949999999</v>
      </c>
      <c r="E123" s="76">
        <v>47.57</v>
      </c>
      <c r="F123" s="76">
        <v>52.43</v>
      </c>
      <c r="G123" s="76">
        <v>-10329985.08</v>
      </c>
      <c r="H123" s="73">
        <f>H122+H112+H107</f>
        <v>-20640258.600000001</v>
      </c>
    </row>
    <row r="124" spans="1:8" x14ac:dyDescent="0.25">
      <c r="A124" s="47" t="s">
        <v>12</v>
      </c>
      <c r="B124" s="47" t="s">
        <v>12</v>
      </c>
    </row>
    <row r="125" spans="1:8" x14ac:dyDescent="0.25">
      <c r="A125" s="48" t="s">
        <v>200</v>
      </c>
      <c r="B125" s="48" t="s">
        <v>201</v>
      </c>
      <c r="C125" s="76">
        <v>-11400603.74</v>
      </c>
      <c r="D125" s="76">
        <v>-21717043.949999999</v>
      </c>
      <c r="E125" s="76">
        <v>47.5</v>
      </c>
      <c r="F125" s="76">
        <v>52.5</v>
      </c>
      <c r="G125" s="76">
        <v>-10316440.210000001</v>
      </c>
      <c r="H125" s="73">
        <f>H123+H82+H77</f>
        <v>-20653803.470000003</v>
      </c>
    </row>
    <row r="126" spans="1:8" x14ac:dyDescent="0.25">
      <c r="A126" s="47" t="s">
        <v>12</v>
      </c>
      <c r="B126" s="47" t="s">
        <v>12</v>
      </c>
    </row>
    <row r="127" spans="1:8" x14ac:dyDescent="0.25">
      <c r="A127" s="48" t="s">
        <v>202</v>
      </c>
      <c r="B127" s="48" t="s">
        <v>203</v>
      </c>
      <c r="C127" s="76">
        <v>3039763.18</v>
      </c>
      <c r="D127" s="76">
        <v>10890615.029999999</v>
      </c>
      <c r="E127" s="76">
        <v>72.09</v>
      </c>
      <c r="F127" s="76">
        <v>27.91</v>
      </c>
      <c r="G127" s="76">
        <v>7850851.8499999996</v>
      </c>
      <c r="H127" s="73">
        <f>H125+H65</f>
        <v>7193678.8649521284</v>
      </c>
    </row>
    <row r="128" spans="1:8" x14ac:dyDescent="0.25">
      <c r="A128" s="47" t="s">
        <v>12</v>
      </c>
      <c r="B128" s="47" t="s">
        <v>12</v>
      </c>
    </row>
    <row r="129" spans="1:8" x14ac:dyDescent="0.25">
      <c r="A129" s="48" t="s">
        <v>204</v>
      </c>
      <c r="B129" s="48" t="s">
        <v>205</v>
      </c>
      <c r="C129" s="76"/>
      <c r="D129" s="76"/>
      <c r="E129" s="76"/>
      <c r="F129" s="76"/>
      <c r="G129" s="76"/>
      <c r="H129" s="73"/>
    </row>
    <row r="130" spans="1:8" x14ac:dyDescent="0.25">
      <c r="A130" s="47" t="s">
        <v>206</v>
      </c>
      <c r="B130" s="47" t="s">
        <v>207</v>
      </c>
      <c r="C130" s="75">
        <v>24640</v>
      </c>
      <c r="D130" s="75">
        <v>165880</v>
      </c>
      <c r="E130" s="75">
        <v>85.15</v>
      </c>
      <c r="F130" s="75">
        <v>14.85</v>
      </c>
      <c r="G130" s="75">
        <v>141240</v>
      </c>
      <c r="H130" s="56">
        <v>165880</v>
      </c>
    </row>
    <row r="131" spans="1:8" x14ac:dyDescent="0.25">
      <c r="A131" s="47" t="s">
        <v>208</v>
      </c>
      <c r="B131" s="47" t="s">
        <v>209</v>
      </c>
      <c r="C131" s="75">
        <v>20501.36</v>
      </c>
      <c r="G131" s="75">
        <v>-20501.36</v>
      </c>
      <c r="H131" s="56">
        <v>20501.36</v>
      </c>
    </row>
    <row r="132" spans="1:8" x14ac:dyDescent="0.25">
      <c r="A132" s="47" t="s">
        <v>210</v>
      </c>
      <c r="B132" s="47" t="s">
        <v>211</v>
      </c>
    </row>
    <row r="133" spans="1:8" x14ac:dyDescent="0.25">
      <c r="A133" s="47" t="s">
        <v>212</v>
      </c>
      <c r="B133" s="47" t="s">
        <v>213</v>
      </c>
    </row>
    <row r="134" spans="1:8" x14ac:dyDescent="0.25">
      <c r="A134" s="47" t="s">
        <v>214</v>
      </c>
      <c r="B134" s="47" t="s">
        <v>215</v>
      </c>
    </row>
    <row r="135" spans="1:8" x14ac:dyDescent="0.25">
      <c r="A135" s="47" t="s">
        <v>216</v>
      </c>
      <c r="B135" s="47" t="s">
        <v>217</v>
      </c>
    </row>
    <row r="136" spans="1:8" x14ac:dyDescent="0.25">
      <c r="A136" s="48" t="s">
        <v>218</v>
      </c>
      <c r="B136" s="48" t="s">
        <v>219</v>
      </c>
      <c r="C136" s="76">
        <v>45141.36</v>
      </c>
      <c r="D136" s="76">
        <v>165880</v>
      </c>
      <c r="E136" s="76">
        <v>72.790000000000006</v>
      </c>
      <c r="F136" s="76">
        <v>27.21</v>
      </c>
      <c r="G136" s="76">
        <v>120738.64</v>
      </c>
      <c r="H136" s="73">
        <f>SUM(H130:H135)</f>
        <v>186381.36</v>
      </c>
    </row>
    <row r="137" spans="1:8" x14ac:dyDescent="0.25">
      <c r="A137" s="47" t="s">
        <v>12</v>
      </c>
      <c r="B137" s="47" t="s">
        <v>12</v>
      </c>
    </row>
    <row r="138" spans="1:8" x14ac:dyDescent="0.25">
      <c r="A138" s="48" t="s">
        <v>220</v>
      </c>
      <c r="B138" s="48" t="s">
        <v>221</v>
      </c>
      <c r="C138" s="76"/>
      <c r="D138" s="76"/>
      <c r="E138" s="76"/>
      <c r="F138" s="76"/>
      <c r="G138" s="76"/>
      <c r="H138" s="73"/>
    </row>
    <row r="139" spans="1:8" x14ac:dyDescent="0.25">
      <c r="A139" s="47" t="s">
        <v>222</v>
      </c>
      <c r="B139" s="47" t="s">
        <v>223</v>
      </c>
    </row>
    <row r="140" spans="1:8" x14ac:dyDescent="0.25">
      <c r="A140" s="47" t="s">
        <v>224</v>
      </c>
      <c r="B140" s="47" t="s">
        <v>225</v>
      </c>
    </row>
    <row r="141" spans="1:8" x14ac:dyDescent="0.25">
      <c r="A141" s="47" t="s">
        <v>226</v>
      </c>
      <c r="B141" s="47" t="s">
        <v>227</v>
      </c>
      <c r="C141" s="75">
        <v>-1560127.08</v>
      </c>
      <c r="D141" s="75">
        <v>-1806086.33</v>
      </c>
      <c r="E141" s="75">
        <v>13.62</v>
      </c>
      <c r="F141" s="75">
        <v>86.38</v>
      </c>
      <c r="G141" s="75">
        <v>-245959.25</v>
      </c>
      <c r="H141" s="56">
        <f>'Fælles adm.'!H142*-1*0.43</f>
        <v>-4288910.2741999989</v>
      </c>
    </row>
    <row r="142" spans="1:8" x14ac:dyDescent="0.25">
      <c r="A142" s="47" t="s">
        <v>228</v>
      </c>
      <c r="B142" s="47" t="s">
        <v>229</v>
      </c>
    </row>
    <row r="143" spans="1:8" x14ac:dyDescent="0.25">
      <c r="A143" s="47" t="s">
        <v>230</v>
      </c>
      <c r="B143" s="47" t="s">
        <v>231</v>
      </c>
      <c r="D143" s="75">
        <v>-3000</v>
      </c>
      <c r="E143" s="75">
        <v>100</v>
      </c>
      <c r="G143" s="75">
        <v>-3000</v>
      </c>
      <c r="H143" s="56">
        <v>-3000</v>
      </c>
    </row>
    <row r="144" spans="1:8" x14ac:dyDescent="0.25">
      <c r="A144" s="47" t="s">
        <v>232</v>
      </c>
      <c r="B144" s="47" t="s">
        <v>233</v>
      </c>
      <c r="C144" s="75">
        <v>-2471.7399999999998</v>
      </c>
      <c r="D144" s="75">
        <v>-46000</v>
      </c>
      <c r="E144" s="75">
        <v>94.63</v>
      </c>
      <c r="F144" s="75">
        <v>5.37</v>
      </c>
      <c r="G144" s="75">
        <v>-43528.26</v>
      </c>
      <c r="H144" s="56">
        <v>-46000</v>
      </c>
    </row>
    <row r="145" spans="1:8" x14ac:dyDescent="0.25">
      <c r="A145" s="47" t="s">
        <v>234</v>
      </c>
      <c r="B145" s="47" t="s">
        <v>235</v>
      </c>
      <c r="D145" s="75">
        <v>-5000</v>
      </c>
      <c r="E145" s="75">
        <v>100</v>
      </c>
      <c r="G145" s="75">
        <v>-5000</v>
      </c>
      <c r="H145" s="56">
        <v>-5000</v>
      </c>
    </row>
    <row r="146" spans="1:8" x14ac:dyDescent="0.25">
      <c r="A146" s="47" t="s">
        <v>236</v>
      </c>
      <c r="B146" s="47" t="s">
        <v>237</v>
      </c>
      <c r="C146" s="75">
        <v>-96.54</v>
      </c>
      <c r="D146" s="75">
        <v>-5000</v>
      </c>
      <c r="E146" s="75">
        <v>98.07</v>
      </c>
      <c r="F146" s="75">
        <v>1.93</v>
      </c>
      <c r="G146" s="75">
        <v>-4903.46</v>
      </c>
      <c r="H146" s="56">
        <v>-5000</v>
      </c>
    </row>
    <row r="147" spans="1:8" x14ac:dyDescent="0.25">
      <c r="A147" s="47" t="s">
        <v>238</v>
      </c>
      <c r="B147" s="47" t="s">
        <v>239</v>
      </c>
      <c r="C147" s="75">
        <v>-1764.75</v>
      </c>
      <c r="D147" s="75">
        <v>-16000</v>
      </c>
      <c r="E147" s="75">
        <v>88.97</v>
      </c>
      <c r="F147" s="75">
        <v>11.03</v>
      </c>
      <c r="G147" s="75">
        <v>-14235.25</v>
      </c>
      <c r="H147" s="56">
        <v>-16000</v>
      </c>
    </row>
    <row r="148" spans="1:8" x14ac:dyDescent="0.25">
      <c r="A148" s="47" t="s">
        <v>240</v>
      </c>
      <c r="B148" s="47" t="s">
        <v>241</v>
      </c>
      <c r="C148" s="75">
        <v>-114797.93</v>
      </c>
      <c r="G148" s="75">
        <v>114797.93</v>
      </c>
      <c r="H148" s="56">
        <f>C148</f>
        <v>-114797.93</v>
      </c>
    </row>
    <row r="149" spans="1:8" x14ac:dyDescent="0.25">
      <c r="A149" s="47" t="s">
        <v>242</v>
      </c>
      <c r="B149" s="47" t="s">
        <v>243</v>
      </c>
      <c r="C149" s="75">
        <v>-27504.65</v>
      </c>
      <c r="D149" s="75">
        <v>-50000</v>
      </c>
      <c r="E149" s="75">
        <v>44.99</v>
      </c>
      <c r="F149" s="75">
        <v>55.01</v>
      </c>
      <c r="G149" s="75">
        <v>-22495.35</v>
      </c>
      <c r="H149" s="56">
        <v>-50000</v>
      </c>
    </row>
    <row r="150" spans="1:8" x14ac:dyDescent="0.25">
      <c r="A150" s="47" t="s">
        <v>244</v>
      </c>
      <c r="B150" s="47" t="s">
        <v>245</v>
      </c>
      <c r="C150" s="75">
        <v>-20713.55</v>
      </c>
      <c r="D150" s="75">
        <v>-60000</v>
      </c>
      <c r="E150" s="75">
        <v>65.48</v>
      </c>
      <c r="F150" s="75">
        <v>34.520000000000003</v>
      </c>
      <c r="G150" s="75">
        <v>-39286.449999999997</v>
      </c>
      <c r="H150" s="56">
        <v>-60000</v>
      </c>
    </row>
    <row r="151" spans="1:8" x14ac:dyDescent="0.25">
      <c r="A151" s="47" t="s">
        <v>246</v>
      </c>
      <c r="B151" s="47" t="s">
        <v>247</v>
      </c>
      <c r="C151" s="75">
        <v>-40534.699999999997</v>
      </c>
      <c r="D151" s="75">
        <v>-1845000</v>
      </c>
      <c r="E151" s="75">
        <v>97.8</v>
      </c>
      <c r="F151" s="75">
        <v>2.2000000000000002</v>
      </c>
      <c r="G151" s="75">
        <v>-1804465.3</v>
      </c>
      <c r="H151" s="56">
        <f>-1845000+925000</f>
        <v>-920000</v>
      </c>
    </row>
    <row r="152" spans="1:8" x14ac:dyDescent="0.25">
      <c r="A152" s="47" t="s">
        <v>248</v>
      </c>
      <c r="B152" s="47" t="s">
        <v>249</v>
      </c>
      <c r="C152" s="75">
        <v>-56598.15</v>
      </c>
      <c r="D152" s="75">
        <v>-120000</v>
      </c>
      <c r="E152" s="75">
        <v>52.83</v>
      </c>
      <c r="F152" s="75">
        <v>47.17</v>
      </c>
      <c r="G152" s="75">
        <v>-63401.85</v>
      </c>
      <c r="H152" s="56">
        <v>-120000</v>
      </c>
    </row>
    <row r="153" spans="1:8" x14ac:dyDescent="0.25">
      <c r="A153" s="47" t="s">
        <v>250</v>
      </c>
      <c r="B153" s="47" t="s">
        <v>251</v>
      </c>
    </row>
    <row r="154" spans="1:8" x14ac:dyDescent="0.25">
      <c r="A154" s="47" t="s">
        <v>252</v>
      </c>
      <c r="B154" s="47" t="s">
        <v>253</v>
      </c>
      <c r="C154" s="75">
        <v>-10488.3</v>
      </c>
      <c r="G154" s="75">
        <v>10488.3</v>
      </c>
      <c r="H154" s="56">
        <f>C154</f>
        <v>-10488.3</v>
      </c>
    </row>
    <row r="155" spans="1:8" x14ac:dyDescent="0.25">
      <c r="A155" s="47" t="s">
        <v>254</v>
      </c>
      <c r="B155" s="47" t="s">
        <v>255</v>
      </c>
      <c r="C155" s="75">
        <v>-31540</v>
      </c>
      <c r="D155" s="75">
        <v>-50000</v>
      </c>
      <c r="E155" s="75">
        <v>36.92</v>
      </c>
      <c r="F155" s="75">
        <v>63.08</v>
      </c>
      <c r="G155" s="75">
        <v>-18460</v>
      </c>
      <c r="H155" s="56">
        <v>-50000</v>
      </c>
    </row>
    <row r="156" spans="1:8" x14ac:dyDescent="0.25">
      <c r="A156" s="47" t="s">
        <v>256</v>
      </c>
      <c r="B156" s="47" t="s">
        <v>257</v>
      </c>
      <c r="D156" s="75">
        <v>-33700</v>
      </c>
      <c r="E156" s="75">
        <v>100</v>
      </c>
      <c r="G156" s="75">
        <v>-33700</v>
      </c>
      <c r="H156" s="56">
        <v>-33700</v>
      </c>
    </row>
    <row r="157" spans="1:8" x14ac:dyDescent="0.25">
      <c r="A157" s="47" t="s">
        <v>258</v>
      </c>
      <c r="B157" s="47" t="s">
        <v>259</v>
      </c>
    </row>
    <row r="158" spans="1:8" x14ac:dyDescent="0.25">
      <c r="A158" s="47" t="s">
        <v>260</v>
      </c>
      <c r="B158" s="47" t="s">
        <v>261</v>
      </c>
      <c r="D158" s="75">
        <v>-328943</v>
      </c>
      <c r="E158" s="75">
        <v>100</v>
      </c>
      <c r="G158" s="75">
        <v>-328943</v>
      </c>
      <c r="H158" s="56">
        <v>0</v>
      </c>
    </row>
    <row r="159" spans="1:8" x14ac:dyDescent="0.25">
      <c r="A159" s="47" t="s">
        <v>262</v>
      </c>
      <c r="B159" s="47" t="s">
        <v>263</v>
      </c>
      <c r="C159" s="75">
        <v>-10476.549999999999</v>
      </c>
      <c r="D159" s="75">
        <v>-80000</v>
      </c>
      <c r="E159" s="75">
        <v>86.9</v>
      </c>
      <c r="F159" s="75">
        <v>13.1</v>
      </c>
      <c r="G159" s="75">
        <v>-69523.45</v>
      </c>
      <c r="H159" s="56">
        <v>-80000</v>
      </c>
    </row>
    <row r="160" spans="1:8" x14ac:dyDescent="0.25">
      <c r="A160" s="47" t="s">
        <v>264</v>
      </c>
      <c r="B160" s="47" t="s">
        <v>265</v>
      </c>
    </row>
    <row r="161" spans="1:8" x14ac:dyDescent="0.25">
      <c r="A161" s="47" t="s">
        <v>266</v>
      </c>
      <c r="B161" s="47" t="s">
        <v>267</v>
      </c>
    </row>
    <row r="162" spans="1:8" x14ac:dyDescent="0.25">
      <c r="A162" s="47" t="s">
        <v>268</v>
      </c>
      <c r="B162" s="47" t="s">
        <v>269</v>
      </c>
      <c r="C162" s="75">
        <v>-126316.63</v>
      </c>
      <c r="D162" s="75">
        <v>-395000</v>
      </c>
      <c r="E162" s="75">
        <v>68.02</v>
      </c>
      <c r="F162" s="75">
        <v>31.98</v>
      </c>
      <c r="G162" s="75">
        <v>-268683.37</v>
      </c>
      <c r="H162" s="56">
        <v>-300000</v>
      </c>
    </row>
    <row r="163" spans="1:8" x14ac:dyDescent="0.25">
      <c r="A163" s="47" t="s">
        <v>270</v>
      </c>
      <c r="B163" s="47" t="s">
        <v>271</v>
      </c>
      <c r="C163" s="75">
        <v>-203819.96</v>
      </c>
      <c r="D163" s="75">
        <v>-350000</v>
      </c>
      <c r="E163" s="75">
        <v>41.77</v>
      </c>
      <c r="F163" s="75">
        <v>58.23</v>
      </c>
      <c r="G163" s="75">
        <v>-146180.04</v>
      </c>
      <c r="H163" s="56">
        <v>-300000</v>
      </c>
    </row>
    <row r="164" spans="1:8" x14ac:dyDescent="0.25">
      <c r="A164" s="47" t="s">
        <v>272</v>
      </c>
      <c r="B164" s="47" t="s">
        <v>273</v>
      </c>
      <c r="C164" s="75">
        <v>-54298.68</v>
      </c>
      <c r="D164" s="75">
        <v>-128642</v>
      </c>
      <c r="E164" s="75">
        <v>57.79</v>
      </c>
      <c r="F164" s="75">
        <v>42.21</v>
      </c>
      <c r="G164" s="75">
        <v>-74343.320000000007</v>
      </c>
      <c r="H164" s="56">
        <f>C164*2</f>
        <v>-108597.36</v>
      </c>
    </row>
    <row r="165" spans="1:8" x14ac:dyDescent="0.25">
      <c r="A165" s="47" t="s">
        <v>274</v>
      </c>
      <c r="B165" s="47" t="s">
        <v>275</v>
      </c>
      <c r="C165" s="75">
        <v>-8578.06</v>
      </c>
      <c r="D165" s="75">
        <v>-20000</v>
      </c>
      <c r="E165" s="75">
        <v>57.11</v>
      </c>
      <c r="F165" s="75">
        <v>42.89</v>
      </c>
      <c r="G165" s="75">
        <v>-11421.94</v>
      </c>
      <c r="H165" s="56">
        <v>-20000</v>
      </c>
    </row>
    <row r="166" spans="1:8" x14ac:dyDescent="0.25">
      <c r="A166" s="47" t="s">
        <v>276</v>
      </c>
      <c r="B166" s="47" t="s">
        <v>277</v>
      </c>
      <c r="C166" s="75">
        <v>-5523.19</v>
      </c>
      <c r="D166" s="75">
        <v>-35000</v>
      </c>
      <c r="E166" s="75">
        <v>84.22</v>
      </c>
      <c r="F166" s="75">
        <v>15.78</v>
      </c>
      <c r="G166" s="75">
        <v>-29476.81</v>
      </c>
      <c r="H166" s="56">
        <v>-35000</v>
      </c>
    </row>
    <row r="167" spans="1:8" x14ac:dyDescent="0.25">
      <c r="A167" s="47" t="s">
        <v>278</v>
      </c>
      <c r="B167" s="47" t="s">
        <v>279</v>
      </c>
    </row>
    <row r="168" spans="1:8" x14ac:dyDescent="0.25">
      <c r="A168" s="47" t="s">
        <v>280</v>
      </c>
      <c r="B168" s="47" t="s">
        <v>281</v>
      </c>
      <c r="C168" s="75">
        <v>-60775.98</v>
      </c>
      <c r="D168" s="75">
        <v>-70000</v>
      </c>
      <c r="E168" s="75">
        <v>13.18</v>
      </c>
      <c r="F168" s="75">
        <v>86.82</v>
      </c>
      <c r="G168" s="75">
        <v>-9224.02</v>
      </c>
      <c r="H168" s="56">
        <v>-70000</v>
      </c>
    </row>
    <row r="169" spans="1:8" x14ac:dyDescent="0.25">
      <c r="A169" s="47" t="s">
        <v>282</v>
      </c>
      <c r="B169" s="47" t="s">
        <v>283</v>
      </c>
      <c r="C169" s="75">
        <v>-43218.53</v>
      </c>
      <c r="D169" s="75">
        <v>-40000</v>
      </c>
      <c r="E169" s="75">
        <v>-8.0500000000000007</v>
      </c>
      <c r="F169" s="75">
        <v>108.05</v>
      </c>
      <c r="G169" s="75">
        <v>3218.53</v>
      </c>
      <c r="H169" s="56">
        <v>-40000</v>
      </c>
    </row>
    <row r="170" spans="1:8" x14ac:dyDescent="0.25">
      <c r="A170" s="47" t="s">
        <v>284</v>
      </c>
      <c r="B170" s="47" t="s">
        <v>285</v>
      </c>
    </row>
    <row r="171" spans="1:8" x14ac:dyDescent="0.25">
      <c r="A171" s="47" t="s">
        <v>286</v>
      </c>
      <c r="B171" s="47" t="s">
        <v>287</v>
      </c>
      <c r="D171" s="75">
        <v>-15000</v>
      </c>
      <c r="E171" s="75">
        <v>100</v>
      </c>
      <c r="G171" s="75">
        <v>-15000</v>
      </c>
      <c r="H171" s="56">
        <v>0</v>
      </c>
    </row>
    <row r="172" spans="1:8" x14ac:dyDescent="0.25">
      <c r="A172" s="47" t="s">
        <v>288</v>
      </c>
      <c r="B172" s="47" t="s">
        <v>289</v>
      </c>
      <c r="C172" s="75">
        <v>-23160</v>
      </c>
      <c r="D172" s="75">
        <v>-15000</v>
      </c>
      <c r="E172" s="75">
        <v>-54.4</v>
      </c>
      <c r="F172" s="75">
        <v>154.4</v>
      </c>
      <c r="G172" s="75">
        <v>8160</v>
      </c>
      <c r="H172" s="56">
        <f>C172</f>
        <v>-23160</v>
      </c>
    </row>
    <row r="173" spans="1:8" x14ac:dyDescent="0.25">
      <c r="A173" s="47" t="s">
        <v>290</v>
      </c>
      <c r="B173" s="47" t="s">
        <v>291</v>
      </c>
      <c r="C173" s="75">
        <v>-2168</v>
      </c>
      <c r="D173" s="75">
        <v>-11000</v>
      </c>
      <c r="E173" s="75">
        <v>80.290000000000006</v>
      </c>
      <c r="F173" s="75">
        <v>19.71</v>
      </c>
      <c r="G173" s="75">
        <v>-8832</v>
      </c>
      <c r="H173" s="56">
        <v>-11000</v>
      </c>
    </row>
    <row r="174" spans="1:8" x14ac:dyDescent="0.25">
      <c r="A174" s="47" t="s">
        <v>292</v>
      </c>
      <c r="B174" s="47" t="s">
        <v>293</v>
      </c>
      <c r="C174" s="75">
        <v>-21328.62</v>
      </c>
      <c r="D174" s="75">
        <v>-80000</v>
      </c>
      <c r="E174" s="75">
        <v>73.34</v>
      </c>
      <c r="F174" s="75">
        <v>26.66</v>
      </c>
      <c r="G174" s="75">
        <v>-58671.38</v>
      </c>
      <c r="H174" s="56">
        <v>-80000</v>
      </c>
    </row>
    <row r="175" spans="1:8" x14ac:dyDescent="0.25">
      <c r="A175" s="47" t="s">
        <v>294</v>
      </c>
      <c r="B175" s="47" t="s">
        <v>295</v>
      </c>
      <c r="C175" s="75">
        <v>-529440.96</v>
      </c>
      <c r="D175" s="75">
        <v>-20000</v>
      </c>
      <c r="E175" s="75">
        <v>-2547.1999999999998</v>
      </c>
      <c r="F175" s="75">
        <v>2647.2</v>
      </c>
      <c r="G175" s="75">
        <v>509440.96</v>
      </c>
      <c r="H175" s="56">
        <f>C175+482766.48</f>
        <v>-46674.479999999981</v>
      </c>
    </row>
    <row r="176" spans="1:8" x14ac:dyDescent="0.25">
      <c r="A176" s="47" t="s">
        <v>296</v>
      </c>
      <c r="B176" s="47" t="s">
        <v>297</v>
      </c>
      <c r="C176" s="75">
        <v>-2550.9299999999998</v>
      </c>
      <c r="D176" s="75">
        <v>-6000</v>
      </c>
      <c r="E176" s="75">
        <v>57.48</v>
      </c>
      <c r="F176" s="75">
        <v>42.52</v>
      </c>
      <c r="G176" s="75">
        <v>-3449.07</v>
      </c>
      <c r="H176" s="56">
        <v>-6000</v>
      </c>
    </row>
    <row r="177" spans="1:8" x14ac:dyDescent="0.25">
      <c r="A177" s="47" t="s">
        <v>298</v>
      </c>
      <c r="B177" s="47" t="s">
        <v>299</v>
      </c>
      <c r="C177" s="75">
        <v>-254310.75</v>
      </c>
      <c r="D177" s="75">
        <v>-400000</v>
      </c>
      <c r="E177" s="75">
        <v>36.42</v>
      </c>
      <c r="F177" s="75">
        <v>63.58</v>
      </c>
      <c r="G177" s="75">
        <v>-145689.25</v>
      </c>
      <c r="H177" s="56">
        <v>-400000</v>
      </c>
    </row>
    <row r="178" spans="1:8" x14ac:dyDescent="0.25">
      <c r="A178" s="47" t="s">
        <v>300</v>
      </c>
      <c r="B178" s="47" t="s">
        <v>301</v>
      </c>
      <c r="C178" s="75">
        <v>-10157.959999999999</v>
      </c>
      <c r="D178" s="75">
        <v>-1000</v>
      </c>
      <c r="E178" s="75">
        <v>-915.8</v>
      </c>
      <c r="F178" s="75">
        <v>1015.8</v>
      </c>
      <c r="G178" s="75">
        <v>9157.9599999999991</v>
      </c>
      <c r="H178" s="56">
        <f>C178</f>
        <v>-10157.959999999999</v>
      </c>
    </row>
    <row r="179" spans="1:8" x14ac:dyDescent="0.25">
      <c r="A179" s="47" t="s">
        <v>302</v>
      </c>
      <c r="B179" s="47" t="s">
        <v>303</v>
      </c>
      <c r="D179" s="75">
        <v>-15000</v>
      </c>
      <c r="E179" s="75">
        <v>100</v>
      </c>
      <c r="G179" s="75">
        <v>-15000</v>
      </c>
      <c r="H179" s="56">
        <v>-15000</v>
      </c>
    </row>
    <row r="180" spans="1:8" x14ac:dyDescent="0.25">
      <c r="A180" s="47" t="s">
        <v>304</v>
      </c>
      <c r="B180" s="47" t="s">
        <v>305</v>
      </c>
      <c r="D180" s="75">
        <v>-10000</v>
      </c>
      <c r="E180" s="75">
        <v>100</v>
      </c>
      <c r="G180" s="75">
        <v>-10000</v>
      </c>
      <c r="H180" s="56">
        <v>-5000</v>
      </c>
    </row>
    <row r="181" spans="1:8" x14ac:dyDescent="0.25">
      <c r="A181" s="47" t="s">
        <v>306</v>
      </c>
      <c r="B181" s="47" t="s">
        <v>307</v>
      </c>
      <c r="C181" s="75">
        <v>-150272.9</v>
      </c>
      <c r="D181" s="75">
        <v>-100000</v>
      </c>
      <c r="E181" s="75">
        <v>-50.27</v>
      </c>
      <c r="F181" s="75">
        <v>150.27000000000001</v>
      </c>
      <c r="G181" s="75">
        <v>50272.9</v>
      </c>
      <c r="H181" s="56">
        <v>-200000</v>
      </c>
    </row>
    <row r="182" spans="1:8" x14ac:dyDescent="0.25">
      <c r="A182" s="47" t="s">
        <v>308</v>
      </c>
      <c r="B182" s="47" t="s">
        <v>309</v>
      </c>
      <c r="C182" s="75">
        <v>170263.85</v>
      </c>
      <c r="D182" s="75">
        <v>-80000</v>
      </c>
      <c r="E182" s="75">
        <v>312.83</v>
      </c>
      <c r="F182" s="75">
        <v>-212.83</v>
      </c>
      <c r="G182" s="75">
        <v>-250263.85</v>
      </c>
      <c r="H182" s="56">
        <f>C182</f>
        <v>170263.85</v>
      </c>
    </row>
    <row r="183" spans="1:8" x14ac:dyDescent="0.25">
      <c r="A183" s="47" t="s">
        <v>310</v>
      </c>
      <c r="B183" s="47" t="s">
        <v>311</v>
      </c>
    </row>
    <row r="184" spans="1:8" x14ac:dyDescent="0.25">
      <c r="A184" s="47" t="s">
        <v>312</v>
      </c>
      <c r="B184" s="47" t="s">
        <v>313</v>
      </c>
      <c r="C184" s="75">
        <v>-82805.14</v>
      </c>
      <c r="D184" s="75">
        <v>-145166.67000000001</v>
      </c>
      <c r="E184" s="75">
        <v>42.96</v>
      </c>
      <c r="F184" s="75">
        <v>57.04</v>
      </c>
      <c r="G184" s="75">
        <v>-62361.53</v>
      </c>
      <c r="H184" s="56">
        <v>-145166.67000000001</v>
      </c>
    </row>
    <row r="185" spans="1:8" x14ac:dyDescent="0.25">
      <c r="A185" s="47" t="s">
        <v>314</v>
      </c>
      <c r="B185" s="47" t="s">
        <v>315</v>
      </c>
      <c r="C185" s="75">
        <v>-5298.15</v>
      </c>
      <c r="D185" s="75">
        <v>-75000</v>
      </c>
      <c r="E185" s="75">
        <v>92.94</v>
      </c>
      <c r="F185" s="75">
        <v>7.06</v>
      </c>
      <c r="G185" s="75">
        <v>-69701.850000000006</v>
      </c>
      <c r="H185" s="56">
        <v>-75000</v>
      </c>
    </row>
    <row r="186" spans="1:8" x14ac:dyDescent="0.25">
      <c r="A186" s="47" t="s">
        <v>316</v>
      </c>
      <c r="B186" s="47" t="s">
        <v>317</v>
      </c>
      <c r="C186" s="75">
        <v>-16332.57</v>
      </c>
      <c r="D186" s="75">
        <v>-40000</v>
      </c>
      <c r="E186" s="75">
        <v>59.17</v>
      </c>
      <c r="F186" s="75">
        <v>40.83</v>
      </c>
      <c r="G186" s="75">
        <v>-23667.43</v>
      </c>
      <c r="H186" s="56">
        <v>-40000</v>
      </c>
    </row>
    <row r="187" spans="1:8" x14ac:dyDescent="0.25">
      <c r="A187" s="47" t="s">
        <v>318</v>
      </c>
      <c r="B187" s="47" t="s">
        <v>319</v>
      </c>
      <c r="C187" s="75">
        <v>-43980.28</v>
      </c>
      <c r="D187" s="75">
        <v>-500688</v>
      </c>
      <c r="E187" s="75">
        <v>91.22</v>
      </c>
      <c r="F187" s="75">
        <v>8.7799999999999994</v>
      </c>
      <c r="G187" s="75">
        <v>-456707.72</v>
      </c>
      <c r="H187" s="56">
        <v>-500688</v>
      </c>
    </row>
    <row r="188" spans="1:8" x14ac:dyDescent="0.25">
      <c r="A188" s="47" t="s">
        <v>320</v>
      </c>
      <c r="B188" s="47" t="s">
        <v>321</v>
      </c>
      <c r="C188" s="75">
        <v>-17052.78</v>
      </c>
      <c r="D188" s="75">
        <v>-116133.33</v>
      </c>
      <c r="E188" s="75">
        <v>85.32</v>
      </c>
      <c r="F188" s="75">
        <v>14.68</v>
      </c>
      <c r="G188" s="75">
        <v>-99080.55</v>
      </c>
      <c r="H188" s="56">
        <v>-116133.33</v>
      </c>
    </row>
    <row r="189" spans="1:8" x14ac:dyDescent="0.25">
      <c r="A189" s="47" t="s">
        <v>322</v>
      </c>
      <c r="B189" s="47" t="s">
        <v>323</v>
      </c>
      <c r="C189" s="75">
        <v>-575152.30000000005</v>
      </c>
      <c r="D189" s="75">
        <v>-1200000</v>
      </c>
      <c r="E189" s="75">
        <v>52.07</v>
      </c>
      <c r="F189" s="75">
        <v>47.93</v>
      </c>
      <c r="G189" s="75">
        <v>-624847.69999999995</v>
      </c>
      <c r="H189" s="56">
        <v>-1200000</v>
      </c>
    </row>
    <row r="190" spans="1:8" x14ac:dyDescent="0.25">
      <c r="A190" s="47" t="s">
        <v>324</v>
      </c>
      <c r="B190" s="47" t="s">
        <v>325</v>
      </c>
      <c r="C190" s="75">
        <v>-6960</v>
      </c>
      <c r="G190" s="75">
        <v>6960</v>
      </c>
      <c r="H190" s="56">
        <f>C190</f>
        <v>-6960</v>
      </c>
    </row>
    <row r="191" spans="1:8" x14ac:dyDescent="0.25">
      <c r="A191" s="47" t="s">
        <v>326</v>
      </c>
      <c r="B191" s="47" t="s">
        <v>327</v>
      </c>
      <c r="C191" s="75">
        <v>-3053</v>
      </c>
      <c r="G191" s="75">
        <v>3053</v>
      </c>
      <c r="H191" s="56">
        <f>C191</f>
        <v>-3053</v>
      </c>
    </row>
    <row r="192" spans="1:8" x14ac:dyDescent="0.25">
      <c r="A192" s="47" t="s">
        <v>328</v>
      </c>
      <c r="B192" s="47" t="s">
        <v>329</v>
      </c>
      <c r="D192" s="75">
        <v>-250000</v>
      </c>
      <c r="E192" s="75">
        <v>100</v>
      </c>
      <c r="G192" s="75">
        <v>-250000</v>
      </c>
      <c r="H192" s="56">
        <v>-250000</v>
      </c>
    </row>
    <row r="193" spans="1:8" x14ac:dyDescent="0.25">
      <c r="A193" s="47" t="s">
        <v>330</v>
      </c>
      <c r="B193" s="47" t="s">
        <v>331</v>
      </c>
      <c r="C193" s="75">
        <v>-22220.15</v>
      </c>
      <c r="D193" s="75">
        <v>-200000</v>
      </c>
      <c r="E193" s="75">
        <v>88.89</v>
      </c>
      <c r="F193" s="75">
        <v>11.11</v>
      </c>
      <c r="G193" s="75">
        <v>-177779.85</v>
      </c>
      <c r="H193" s="56">
        <v>-200000</v>
      </c>
    </row>
    <row r="194" spans="1:8" x14ac:dyDescent="0.25">
      <c r="A194" s="47" t="s">
        <v>332</v>
      </c>
      <c r="B194" s="47" t="s">
        <v>333</v>
      </c>
    </row>
    <row r="195" spans="1:8" x14ac:dyDescent="0.25">
      <c r="A195" s="47" t="s">
        <v>334</v>
      </c>
      <c r="B195" s="47" t="s">
        <v>335</v>
      </c>
      <c r="D195" s="75">
        <v>1</v>
      </c>
      <c r="E195" s="75">
        <v>100</v>
      </c>
      <c r="G195" s="75">
        <v>1</v>
      </c>
      <c r="H195" s="56">
        <v>1</v>
      </c>
    </row>
    <row r="196" spans="1:8" x14ac:dyDescent="0.25">
      <c r="A196" s="47" t="s">
        <v>336</v>
      </c>
      <c r="B196" s="47" t="s">
        <v>337</v>
      </c>
    </row>
    <row r="197" spans="1:8" x14ac:dyDescent="0.25">
      <c r="A197" s="47" t="s">
        <v>338</v>
      </c>
      <c r="B197" s="47" t="s">
        <v>339</v>
      </c>
    </row>
    <row r="198" spans="1:8" x14ac:dyDescent="0.25">
      <c r="A198" s="48" t="s">
        <v>340</v>
      </c>
      <c r="B198" s="48" t="s">
        <v>341</v>
      </c>
      <c r="C198" s="76">
        <v>-3975625.61</v>
      </c>
      <c r="D198" s="76">
        <v>-8767358.3300000001</v>
      </c>
      <c r="E198" s="76">
        <v>54.65</v>
      </c>
      <c r="F198" s="76">
        <v>45.35</v>
      </c>
      <c r="G198" s="76">
        <v>-4791732.72</v>
      </c>
      <c r="H198" s="73">
        <f>SUM(H139:H197)</f>
        <v>-9840222.4541999996</v>
      </c>
    </row>
    <row r="199" spans="1:8" x14ac:dyDescent="0.25">
      <c r="A199" s="47" t="s">
        <v>12</v>
      </c>
      <c r="B199" s="47" t="s">
        <v>12</v>
      </c>
    </row>
    <row r="200" spans="1:8" x14ac:dyDescent="0.25">
      <c r="A200" s="48" t="s">
        <v>342</v>
      </c>
      <c r="B200" s="48" t="s">
        <v>343</v>
      </c>
      <c r="C200" s="76"/>
      <c r="D200" s="76"/>
      <c r="E200" s="76"/>
      <c r="F200" s="76"/>
      <c r="G200" s="76"/>
      <c r="H200" s="73"/>
    </row>
    <row r="201" spans="1:8" x14ac:dyDescent="0.25">
      <c r="A201" s="47" t="s">
        <v>344</v>
      </c>
      <c r="B201" s="47" t="s">
        <v>345</v>
      </c>
    </row>
    <row r="202" spans="1:8" x14ac:dyDescent="0.25">
      <c r="A202" s="47" t="s">
        <v>346</v>
      </c>
      <c r="B202" s="47" t="s">
        <v>347</v>
      </c>
    </row>
    <row r="203" spans="1:8" x14ac:dyDescent="0.25">
      <c r="A203" s="47" t="s">
        <v>348</v>
      </c>
      <c r="B203" s="47" t="s">
        <v>349</v>
      </c>
    </row>
    <row r="204" spans="1:8" x14ac:dyDescent="0.25">
      <c r="A204" s="47" t="s">
        <v>350</v>
      </c>
      <c r="B204" s="47" t="s">
        <v>351</v>
      </c>
    </row>
    <row r="205" spans="1:8" x14ac:dyDescent="0.25">
      <c r="A205" s="47" t="s">
        <v>352</v>
      </c>
      <c r="B205" s="47" t="s">
        <v>353</v>
      </c>
    </row>
    <row r="206" spans="1:8" x14ac:dyDescent="0.25">
      <c r="A206" s="47" t="s">
        <v>354</v>
      </c>
      <c r="B206" s="47" t="s">
        <v>355</v>
      </c>
      <c r="C206" s="75">
        <v>-1665</v>
      </c>
      <c r="G206" s="75">
        <v>1665</v>
      </c>
      <c r="H206" s="56">
        <f>C206</f>
        <v>-1665</v>
      </c>
    </row>
    <row r="207" spans="1:8" x14ac:dyDescent="0.25">
      <c r="A207" s="47" t="s">
        <v>356</v>
      </c>
      <c r="B207" s="47" t="s">
        <v>357</v>
      </c>
    </row>
    <row r="208" spans="1:8" x14ac:dyDescent="0.25">
      <c r="A208" s="47" t="s">
        <v>358</v>
      </c>
      <c r="B208" s="47" t="s">
        <v>359</v>
      </c>
    </row>
    <row r="209" spans="1:8" x14ac:dyDescent="0.25">
      <c r="A209" s="48" t="s">
        <v>360</v>
      </c>
      <c r="B209" s="48" t="s">
        <v>361</v>
      </c>
      <c r="C209" s="76">
        <v>-1665</v>
      </c>
      <c r="D209" s="76"/>
      <c r="E209" s="76"/>
      <c r="F209" s="76"/>
      <c r="G209" s="76">
        <v>1665</v>
      </c>
      <c r="H209" s="73">
        <f>SUM(H201:H208)</f>
        <v>-1665</v>
      </c>
    </row>
    <row r="210" spans="1:8" x14ac:dyDescent="0.25">
      <c r="A210" s="47" t="s">
        <v>12</v>
      </c>
      <c r="B210" s="47" t="s">
        <v>12</v>
      </c>
    </row>
    <row r="211" spans="1:8" x14ac:dyDescent="0.25">
      <c r="A211" s="48" t="s">
        <v>362</v>
      </c>
      <c r="B211" s="48" t="s">
        <v>40</v>
      </c>
      <c r="C211" s="76"/>
      <c r="D211" s="76"/>
      <c r="E211" s="76"/>
      <c r="F211" s="76"/>
      <c r="G211" s="76"/>
      <c r="H211" s="73"/>
    </row>
    <row r="212" spans="1:8" x14ac:dyDescent="0.25">
      <c r="A212" s="47" t="s">
        <v>363</v>
      </c>
      <c r="B212" s="47" t="s">
        <v>364</v>
      </c>
    </row>
    <row r="213" spans="1:8" x14ac:dyDescent="0.25">
      <c r="A213" s="47" t="s">
        <v>365</v>
      </c>
      <c r="B213" s="47" t="s">
        <v>366</v>
      </c>
      <c r="D213" s="75">
        <v>-161448</v>
      </c>
      <c r="E213" s="75">
        <v>100</v>
      </c>
      <c r="G213" s="75">
        <v>-161448</v>
      </c>
      <c r="H213" s="56">
        <v>0</v>
      </c>
    </row>
    <row r="214" spans="1:8" x14ac:dyDescent="0.25">
      <c r="A214" s="47" t="s">
        <v>367</v>
      </c>
      <c r="B214" s="47" t="s">
        <v>368</v>
      </c>
    </row>
    <row r="215" spans="1:8" x14ac:dyDescent="0.25">
      <c r="A215" s="47" t="s">
        <v>369</v>
      </c>
      <c r="B215" s="47" t="s">
        <v>370</v>
      </c>
      <c r="C215" s="75">
        <v>-2563.59</v>
      </c>
      <c r="G215" s="75">
        <v>2563.59</v>
      </c>
      <c r="H215" s="56">
        <f>C215</f>
        <v>-2563.59</v>
      </c>
    </row>
    <row r="216" spans="1:8" x14ac:dyDescent="0.25">
      <c r="A216" s="47" t="s">
        <v>371</v>
      </c>
      <c r="B216" s="47" t="s">
        <v>372</v>
      </c>
    </row>
    <row r="217" spans="1:8" x14ac:dyDescent="0.25">
      <c r="A217" s="47" t="s">
        <v>373</v>
      </c>
      <c r="B217" s="47" t="s">
        <v>374</v>
      </c>
    </row>
    <row r="218" spans="1:8" x14ac:dyDescent="0.25">
      <c r="A218" s="47" t="s">
        <v>375</v>
      </c>
      <c r="B218" s="47" t="s">
        <v>376</v>
      </c>
    </row>
    <row r="219" spans="1:8" x14ac:dyDescent="0.25">
      <c r="A219" s="48" t="s">
        <v>377</v>
      </c>
      <c r="B219" s="48" t="s">
        <v>378</v>
      </c>
      <c r="C219" s="76">
        <v>-2563.59</v>
      </c>
      <c r="D219" s="76">
        <v>-161448</v>
      </c>
      <c r="E219" s="76">
        <v>98.41</v>
      </c>
      <c r="F219" s="76">
        <v>1.59</v>
      </c>
      <c r="G219" s="76">
        <v>-158884.41</v>
      </c>
      <c r="H219" s="73">
        <f>SUM(H212:H218)</f>
        <v>-2563.59</v>
      </c>
    </row>
    <row r="220" spans="1:8" x14ac:dyDescent="0.25">
      <c r="A220" s="47" t="s">
        <v>12</v>
      </c>
      <c r="B220" s="47" t="s">
        <v>12</v>
      </c>
    </row>
    <row r="221" spans="1:8" x14ac:dyDescent="0.25">
      <c r="A221" s="48" t="s">
        <v>379</v>
      </c>
      <c r="B221" s="48" t="s">
        <v>380</v>
      </c>
      <c r="C221" s="76"/>
      <c r="D221" s="76"/>
      <c r="E221" s="76"/>
      <c r="F221" s="76"/>
      <c r="G221" s="76"/>
      <c r="H221" s="73"/>
    </row>
    <row r="222" spans="1:8" x14ac:dyDescent="0.25">
      <c r="A222" s="47" t="s">
        <v>381</v>
      </c>
      <c r="B222" s="47" t="s">
        <v>380</v>
      </c>
    </row>
    <row r="223" spans="1:8" x14ac:dyDescent="0.25">
      <c r="A223" s="48" t="s">
        <v>382</v>
      </c>
      <c r="B223" s="48" t="s">
        <v>383</v>
      </c>
      <c r="C223" s="76"/>
      <c r="D223" s="76"/>
      <c r="E223" s="76"/>
      <c r="F223" s="76"/>
      <c r="G223" s="76"/>
      <c r="H223" s="73">
        <f>H222</f>
        <v>0</v>
      </c>
    </row>
    <row r="224" spans="1:8" x14ac:dyDescent="0.25">
      <c r="A224" s="47" t="s">
        <v>12</v>
      </c>
      <c r="B224" s="47" t="s">
        <v>12</v>
      </c>
    </row>
    <row r="225" spans="1:8" x14ac:dyDescent="0.25">
      <c r="A225" s="48" t="s">
        <v>384</v>
      </c>
      <c r="B225" s="48" t="s">
        <v>385</v>
      </c>
      <c r="C225" s="76"/>
      <c r="D225" s="76"/>
      <c r="E225" s="76"/>
      <c r="F225" s="76"/>
      <c r="G225" s="76"/>
      <c r="H225" s="73"/>
    </row>
    <row r="226" spans="1:8" x14ac:dyDescent="0.25">
      <c r="A226" s="47" t="s">
        <v>386</v>
      </c>
      <c r="B226" s="47" t="s">
        <v>385</v>
      </c>
    </row>
    <row r="227" spans="1:8" x14ac:dyDescent="0.25">
      <c r="A227" s="48" t="s">
        <v>387</v>
      </c>
      <c r="B227" s="48" t="s">
        <v>388</v>
      </c>
      <c r="C227" s="76"/>
      <c r="D227" s="76"/>
      <c r="E227" s="76"/>
      <c r="F227" s="76"/>
      <c r="G227" s="76"/>
      <c r="H227" s="73">
        <f>H226</f>
        <v>0</v>
      </c>
    </row>
    <row r="228" spans="1:8" x14ac:dyDescent="0.25">
      <c r="A228" s="47" t="s">
        <v>12</v>
      </c>
      <c r="B228" s="47" t="s">
        <v>12</v>
      </c>
    </row>
    <row r="229" spans="1:8" ht="15.75" thickBot="1" x14ac:dyDescent="0.3">
      <c r="A229" s="49" t="s">
        <v>389</v>
      </c>
      <c r="B229" s="49" t="s">
        <v>390</v>
      </c>
      <c r="C229" s="77">
        <v>-894949.66</v>
      </c>
      <c r="D229" s="77">
        <v>2127688.7000000002</v>
      </c>
      <c r="E229" s="77">
        <v>142.06</v>
      </c>
      <c r="F229" s="77">
        <v>-42.06</v>
      </c>
      <c r="G229" s="77">
        <v>3022638.36</v>
      </c>
      <c r="H229" s="74">
        <f>H219+H209+H223+H227+H198+H136+H127</f>
        <v>-2464390.8192478716</v>
      </c>
    </row>
    <row r="230" spans="1:8" ht="15.75" thickTop="1" x14ac:dyDescent="0.25">
      <c r="A230" s="47" t="s">
        <v>12</v>
      </c>
      <c r="B230" s="47" t="s">
        <v>12</v>
      </c>
    </row>
    <row r="231" spans="1:8" x14ac:dyDescent="0.25">
      <c r="A231" s="48" t="s">
        <v>391</v>
      </c>
      <c r="B231" s="48" t="s">
        <v>392</v>
      </c>
      <c r="C231" s="76"/>
      <c r="D231" s="76"/>
      <c r="E231" s="76"/>
      <c r="F231" s="76"/>
      <c r="G231" s="76"/>
      <c r="H231" s="73"/>
    </row>
    <row r="232" spans="1:8" x14ac:dyDescent="0.25">
      <c r="A232" s="47" t="s">
        <v>393</v>
      </c>
      <c r="B232" s="47" t="s">
        <v>394</v>
      </c>
    </row>
    <row r="233" spans="1:8" x14ac:dyDescent="0.25">
      <c r="A233" s="47" t="s">
        <v>395</v>
      </c>
      <c r="B233" s="47" t="s">
        <v>396</v>
      </c>
    </row>
    <row r="234" spans="1:8" x14ac:dyDescent="0.25">
      <c r="A234" s="47" t="s">
        <v>397</v>
      </c>
      <c r="B234" s="47" t="s">
        <v>398</v>
      </c>
    </row>
    <row r="235" spans="1:8" x14ac:dyDescent="0.25">
      <c r="A235" s="48" t="s">
        <v>399</v>
      </c>
      <c r="B235" s="48" t="s">
        <v>400</v>
      </c>
      <c r="C235" s="76"/>
      <c r="D235" s="76"/>
      <c r="E235" s="76"/>
      <c r="F235" s="76"/>
      <c r="G235" s="76"/>
      <c r="H235" s="73">
        <f>SUM(H232:H234)</f>
        <v>0</v>
      </c>
    </row>
    <row r="236" spans="1:8" x14ac:dyDescent="0.25">
      <c r="A236" s="47" t="s">
        <v>12</v>
      </c>
      <c r="B236" s="47" t="s">
        <v>12</v>
      </c>
    </row>
    <row r="237" spans="1:8" ht="15.75" thickBot="1" x14ac:dyDescent="0.3">
      <c r="A237" s="49" t="s">
        <v>12</v>
      </c>
      <c r="B237" s="49" t="s">
        <v>46</v>
      </c>
      <c r="C237" s="77">
        <v>-894949.66</v>
      </c>
      <c r="D237" s="77">
        <v>2127688.7000000002</v>
      </c>
      <c r="E237" s="77">
        <v>142.06</v>
      </c>
      <c r="F237" s="77">
        <v>-42.06</v>
      </c>
      <c r="G237" s="77">
        <v>3022638.36</v>
      </c>
      <c r="H237" s="74">
        <f>H229+H235</f>
        <v>-2464390.8192478716</v>
      </c>
    </row>
    <row r="238" spans="1:8" ht="15.75" thickTop="1" x14ac:dyDescent="0.25">
      <c r="A238" s="47" t="s">
        <v>12</v>
      </c>
      <c r="B238" s="47" t="s">
        <v>12</v>
      </c>
    </row>
    <row r="239" spans="1:8" x14ac:dyDescent="0.25">
      <c r="A239" s="47" t="s">
        <v>401</v>
      </c>
      <c r="B239" s="47" t="s">
        <v>402</v>
      </c>
    </row>
    <row r="240" spans="1:8" x14ac:dyDescent="0.25">
      <c r="A240" s="47" t="s">
        <v>403</v>
      </c>
      <c r="B240" s="47" t="s">
        <v>404</v>
      </c>
    </row>
    <row r="241" spans="1:8" x14ac:dyDescent="0.25">
      <c r="A241" s="47" t="s">
        <v>405</v>
      </c>
      <c r="B241" s="47" t="s">
        <v>406</v>
      </c>
      <c r="C241" s="75">
        <v>-622020.93999999994</v>
      </c>
      <c r="D241" s="75">
        <v>-1616471.17</v>
      </c>
      <c r="E241" s="75">
        <v>61.52</v>
      </c>
      <c r="F241" s="75">
        <v>38.479999999999997</v>
      </c>
      <c r="G241" s="75">
        <v>-994450.23</v>
      </c>
      <c r="H241" s="56">
        <v>-1219411.71</v>
      </c>
    </row>
    <row r="242" spans="1:8" x14ac:dyDescent="0.25">
      <c r="A242" s="47" t="s">
        <v>407</v>
      </c>
      <c r="B242" s="47" t="s">
        <v>408</v>
      </c>
    </row>
    <row r="243" spans="1:8" x14ac:dyDescent="0.25">
      <c r="A243" s="48" t="s">
        <v>409</v>
      </c>
      <c r="B243" s="48" t="s">
        <v>410</v>
      </c>
      <c r="C243" s="76">
        <v>-622020.93999999994</v>
      </c>
      <c r="D243" s="76">
        <v>-1616471.17</v>
      </c>
      <c r="E243" s="76">
        <v>61.52</v>
      </c>
      <c r="F243" s="76">
        <v>38.479999999999997</v>
      </c>
      <c r="G243" s="76">
        <v>-994450.23</v>
      </c>
      <c r="H243" s="73">
        <f>SUM(H239:H242)</f>
        <v>-1219411.71</v>
      </c>
    </row>
    <row r="244" spans="1:8" x14ac:dyDescent="0.25">
      <c r="A244" s="47" t="s">
        <v>12</v>
      </c>
      <c r="B244" s="47" t="s">
        <v>12</v>
      </c>
    </row>
    <row r="245" spans="1:8" ht="15.75" thickBot="1" x14ac:dyDescent="0.3">
      <c r="A245" s="49" t="s">
        <v>411</v>
      </c>
      <c r="B245" s="49" t="s">
        <v>49</v>
      </c>
      <c r="C245" s="77">
        <v>-1516970.6</v>
      </c>
      <c r="D245" s="77">
        <v>511217.53</v>
      </c>
      <c r="E245" s="77">
        <v>396.74</v>
      </c>
      <c r="F245" s="77">
        <v>-296.74</v>
      </c>
      <c r="G245" s="77">
        <v>2028188.13</v>
      </c>
      <c r="H245" s="74">
        <f>+H237+H243</f>
        <v>-3683802.5292478716</v>
      </c>
    </row>
    <row r="246" spans="1:8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6"/>
  <sheetViews>
    <sheetView topLeftCell="A66" workbookViewId="0">
      <selection activeCell="H189" sqref="H189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3" width="12.140625" style="75" bestFit="1" customWidth="1"/>
    <col min="4" max="4" width="12.85546875" style="75" bestFit="1" customWidth="1"/>
    <col min="5" max="5" width="10.28515625" style="75" bestFit="1" customWidth="1"/>
    <col min="6" max="6" width="19.42578125" style="75" bestFit="1" customWidth="1"/>
    <col min="7" max="7" width="12.85546875" style="75" bestFit="1" customWidth="1"/>
    <col min="8" max="8" width="12.42578125" style="56" bestFit="1" customWidth="1"/>
  </cols>
  <sheetData>
    <row r="1" spans="1:8" x14ac:dyDescent="0.25">
      <c r="A1" s="41" t="s">
        <v>0</v>
      </c>
      <c r="B1" s="40"/>
    </row>
    <row r="2" spans="1:8" x14ac:dyDescent="0.25">
      <c r="A2" s="42" t="s">
        <v>1</v>
      </c>
      <c r="B2" s="42" t="s">
        <v>2</v>
      </c>
    </row>
    <row r="3" spans="1:8" x14ac:dyDescent="0.25">
      <c r="A3" s="42" t="s">
        <v>3</v>
      </c>
      <c r="B3" s="42" t="s">
        <v>4</v>
      </c>
    </row>
    <row r="4" spans="1:8" x14ac:dyDescent="0.25">
      <c r="A4" s="42" t="s">
        <v>412</v>
      </c>
      <c r="B4" s="42" t="s">
        <v>419</v>
      </c>
    </row>
    <row r="6" spans="1:8" x14ac:dyDescent="0.25">
      <c r="A6" s="42" t="s">
        <v>5</v>
      </c>
      <c r="B6" s="42" t="s">
        <v>6</v>
      </c>
    </row>
    <row r="8" spans="1:8" x14ac:dyDescent="0.25">
      <c r="A8" s="40"/>
      <c r="B8" s="40"/>
      <c r="C8" s="75" t="s">
        <v>7</v>
      </c>
      <c r="D8" s="75" t="s">
        <v>8</v>
      </c>
      <c r="E8" s="75" t="s">
        <v>9</v>
      </c>
      <c r="F8" s="75" t="s">
        <v>10</v>
      </c>
      <c r="G8" s="75" t="s">
        <v>11</v>
      </c>
      <c r="H8" s="56" t="s">
        <v>428</v>
      </c>
    </row>
    <row r="9" spans="1:8" x14ac:dyDescent="0.25">
      <c r="A9" s="43" t="s">
        <v>12</v>
      </c>
      <c r="B9" s="43" t="s">
        <v>13</v>
      </c>
      <c r="C9" s="76"/>
      <c r="D9" s="76"/>
      <c r="E9" s="76"/>
      <c r="F9" s="76"/>
      <c r="G9" s="76"/>
      <c r="H9" s="73"/>
    </row>
    <row r="10" spans="1:8" x14ac:dyDescent="0.25">
      <c r="A10" s="42" t="s">
        <v>12</v>
      </c>
      <c r="B10" s="42" t="s">
        <v>12</v>
      </c>
    </row>
    <row r="11" spans="1:8" x14ac:dyDescent="0.25">
      <c r="A11" s="42" t="s">
        <v>14</v>
      </c>
      <c r="B11" s="42" t="s">
        <v>15</v>
      </c>
      <c r="H11" s="56">
        <f>H46</f>
        <v>0</v>
      </c>
    </row>
    <row r="12" spans="1:8" x14ac:dyDescent="0.25">
      <c r="A12" s="42" t="s">
        <v>16</v>
      </c>
      <c r="B12" s="42" t="s">
        <v>17</v>
      </c>
      <c r="C12" s="75">
        <v>2767173.9</v>
      </c>
      <c r="D12" s="75">
        <v>3247833</v>
      </c>
      <c r="E12" s="75">
        <v>14.8</v>
      </c>
      <c r="F12" s="75">
        <v>85.2</v>
      </c>
      <c r="G12" s="75">
        <v>480659.1</v>
      </c>
      <c r="H12" s="56">
        <f>H59</f>
        <v>3247833</v>
      </c>
    </row>
    <row r="13" spans="1:8" x14ac:dyDescent="0.25">
      <c r="A13" s="42" t="s">
        <v>18</v>
      </c>
      <c r="B13" s="42" t="s">
        <v>19</v>
      </c>
      <c r="H13" s="56">
        <f>H63</f>
        <v>0</v>
      </c>
    </row>
    <row r="14" spans="1:8" x14ac:dyDescent="0.25">
      <c r="A14" s="43" t="s">
        <v>20</v>
      </c>
      <c r="B14" s="43" t="s">
        <v>21</v>
      </c>
      <c r="C14" s="76">
        <v>2767173.9</v>
      </c>
      <c r="D14" s="76">
        <v>3247833</v>
      </c>
      <c r="E14" s="76">
        <v>14.8</v>
      </c>
      <c r="F14" s="76">
        <v>85.2</v>
      </c>
      <c r="G14" s="76">
        <v>480659.1</v>
      </c>
      <c r="H14" s="73">
        <f>SUM(H11:H13)</f>
        <v>3247833</v>
      </c>
    </row>
    <row r="15" spans="1:8" x14ac:dyDescent="0.25">
      <c r="A15" s="42" t="s">
        <v>12</v>
      </c>
      <c r="B15" s="42" t="s">
        <v>12</v>
      </c>
    </row>
    <row r="16" spans="1:8" x14ac:dyDescent="0.25">
      <c r="A16" s="43" t="s">
        <v>12</v>
      </c>
      <c r="B16" s="43" t="s">
        <v>22</v>
      </c>
      <c r="C16" s="76"/>
      <c r="D16" s="76"/>
      <c r="E16" s="76"/>
      <c r="F16" s="76"/>
      <c r="G16" s="76"/>
      <c r="H16" s="73"/>
    </row>
    <row r="17" spans="1:8" x14ac:dyDescent="0.25">
      <c r="A17" s="42" t="s">
        <v>23</v>
      </c>
      <c r="B17" s="42" t="s">
        <v>24</v>
      </c>
    </row>
    <row r="18" spans="1:8" x14ac:dyDescent="0.25">
      <c r="A18" s="42" t="s">
        <v>25</v>
      </c>
      <c r="B18" s="42" t="s">
        <v>26</v>
      </c>
      <c r="C18" s="75">
        <v>-5496.4</v>
      </c>
      <c r="G18" s="75">
        <v>5496.4</v>
      </c>
      <c r="H18" s="56">
        <f>H77</f>
        <v>-5496.4</v>
      </c>
    </row>
    <row r="19" spans="1:8" x14ac:dyDescent="0.25">
      <c r="A19" s="42" t="s">
        <v>27</v>
      </c>
      <c r="B19" s="42" t="s">
        <v>28</v>
      </c>
    </row>
    <row r="20" spans="1:8" x14ac:dyDescent="0.25">
      <c r="A20" s="42" t="s">
        <v>12</v>
      </c>
      <c r="B20" s="42" t="s">
        <v>12</v>
      </c>
    </row>
    <row r="21" spans="1:8" x14ac:dyDescent="0.25">
      <c r="A21" s="42" t="s">
        <v>29</v>
      </c>
      <c r="B21" s="42" t="s">
        <v>30</v>
      </c>
      <c r="C21" s="75">
        <v>-909562.75</v>
      </c>
      <c r="D21" s="75">
        <v>-1287982.3999999999</v>
      </c>
      <c r="E21" s="75">
        <v>29.38</v>
      </c>
      <c r="F21" s="75">
        <v>70.62</v>
      </c>
      <c r="G21" s="75">
        <v>-378419.65</v>
      </c>
      <c r="H21" s="56">
        <f>H123</f>
        <v>-1604499.3900000001</v>
      </c>
    </row>
    <row r="22" spans="1:8" x14ac:dyDescent="0.25">
      <c r="A22" s="43" t="s">
        <v>31</v>
      </c>
      <c r="B22" s="43" t="s">
        <v>32</v>
      </c>
      <c r="C22" s="76">
        <v>-915059.15</v>
      </c>
      <c r="D22" s="76">
        <v>-1287982.3999999999</v>
      </c>
      <c r="E22" s="76">
        <v>28.95</v>
      </c>
      <c r="F22" s="76">
        <v>71.05</v>
      </c>
      <c r="G22" s="76">
        <v>-372923.25</v>
      </c>
      <c r="H22" s="73">
        <f>H21</f>
        <v>-1604499.3900000001</v>
      </c>
    </row>
    <row r="23" spans="1:8" x14ac:dyDescent="0.25">
      <c r="A23" s="42" t="s">
        <v>12</v>
      </c>
      <c r="B23" s="42" t="s">
        <v>12</v>
      </c>
    </row>
    <row r="24" spans="1:8" x14ac:dyDescent="0.25">
      <c r="A24" s="42" t="s">
        <v>33</v>
      </c>
      <c r="B24" s="42" t="s">
        <v>34</v>
      </c>
      <c r="H24" s="56">
        <f>H136</f>
        <v>0</v>
      </c>
    </row>
    <row r="25" spans="1:8" x14ac:dyDescent="0.25">
      <c r="A25" s="42" t="s">
        <v>35</v>
      </c>
      <c r="B25" s="42" t="s">
        <v>36</v>
      </c>
      <c r="C25" s="75">
        <v>-679426.49</v>
      </c>
      <c r="D25" s="75">
        <v>-2005497</v>
      </c>
      <c r="E25" s="75">
        <v>66.12</v>
      </c>
      <c r="F25" s="75">
        <v>33.880000000000003</v>
      </c>
      <c r="G25" s="75">
        <v>-1326070.51</v>
      </c>
      <c r="H25" s="56">
        <f>H198</f>
        <v>-1917458.9699999997</v>
      </c>
    </row>
    <row r="26" spans="1:8" x14ac:dyDescent="0.25">
      <c r="A26" s="42" t="s">
        <v>37</v>
      </c>
      <c r="B26" s="42" t="s">
        <v>38</v>
      </c>
      <c r="H26" s="56">
        <f>H209</f>
        <v>0</v>
      </c>
    </row>
    <row r="27" spans="1:8" x14ac:dyDescent="0.25">
      <c r="A27" s="42" t="s">
        <v>39</v>
      </c>
      <c r="B27" s="42" t="s">
        <v>40</v>
      </c>
      <c r="C27" s="75">
        <v>-973.49</v>
      </c>
      <c r="G27" s="75">
        <v>973.49</v>
      </c>
      <c r="H27" s="56">
        <f>H219</f>
        <v>0</v>
      </c>
    </row>
    <row r="28" spans="1:8" x14ac:dyDescent="0.25">
      <c r="A28" s="42" t="s">
        <v>41</v>
      </c>
      <c r="B28" s="42" t="s">
        <v>42</v>
      </c>
      <c r="H28" s="56">
        <f>H223</f>
        <v>0</v>
      </c>
    </row>
    <row r="29" spans="1:8" x14ac:dyDescent="0.25">
      <c r="A29" s="42" t="s">
        <v>43</v>
      </c>
      <c r="B29" s="42" t="s">
        <v>44</v>
      </c>
      <c r="H29" s="56">
        <f>H227</f>
        <v>0</v>
      </c>
    </row>
    <row r="30" spans="1:8" x14ac:dyDescent="0.25">
      <c r="A30" s="42" t="s">
        <v>12</v>
      </c>
      <c r="B30" s="42" t="s">
        <v>12</v>
      </c>
    </row>
    <row r="31" spans="1:8" ht="15.75" thickBot="1" x14ac:dyDescent="0.3">
      <c r="A31" s="44" t="s">
        <v>45</v>
      </c>
      <c r="B31" s="44" t="s">
        <v>46</v>
      </c>
      <c r="C31" s="77">
        <v>1171714.77</v>
      </c>
      <c r="D31" s="77">
        <v>-45646.400000000001</v>
      </c>
      <c r="E31" s="77">
        <v>2666.94</v>
      </c>
      <c r="F31" s="77">
        <v>-2566.94</v>
      </c>
      <c r="G31" s="77">
        <v>-1217361.17</v>
      </c>
      <c r="H31" s="74">
        <f>H14+H18+H22+H24+H25+H26+H27</f>
        <v>-279621.75999999978</v>
      </c>
    </row>
    <row r="32" spans="1:8" ht="15.75" thickTop="1" x14ac:dyDescent="0.25">
      <c r="A32" s="42" t="s">
        <v>12</v>
      </c>
      <c r="B32" s="42" t="s">
        <v>12</v>
      </c>
    </row>
    <row r="33" spans="1:8" x14ac:dyDescent="0.25">
      <c r="A33" s="42" t="s">
        <v>47</v>
      </c>
      <c r="B33" s="42" t="s">
        <v>48</v>
      </c>
      <c r="C33" s="75">
        <v>-10768.2</v>
      </c>
      <c r="D33" s="75">
        <v>-21536.44</v>
      </c>
      <c r="E33" s="75">
        <v>50</v>
      </c>
      <c r="F33" s="75">
        <v>50</v>
      </c>
      <c r="G33" s="75">
        <v>-10768.24</v>
      </c>
      <c r="H33" s="56">
        <f>H243</f>
        <v>-19547.330000000002</v>
      </c>
    </row>
    <row r="34" spans="1:8" x14ac:dyDescent="0.25">
      <c r="A34" s="42" t="s">
        <v>12</v>
      </c>
      <c r="B34" s="42" t="s">
        <v>12</v>
      </c>
    </row>
    <row r="35" spans="1:8" ht="15.75" thickBot="1" x14ac:dyDescent="0.3">
      <c r="A35" s="44" t="s">
        <v>12</v>
      </c>
      <c r="B35" s="44" t="s">
        <v>49</v>
      </c>
      <c r="C35" s="77">
        <v>1160946.57</v>
      </c>
      <c r="D35" s="77">
        <v>-67182.84</v>
      </c>
      <c r="E35" s="77">
        <v>1828.04</v>
      </c>
      <c r="F35" s="77">
        <v>-1728.04</v>
      </c>
      <c r="G35" s="77">
        <v>-1228129.4099999999</v>
      </c>
      <c r="H35" s="74">
        <f>H31+H33</f>
        <v>-299169.08999999979</v>
      </c>
    </row>
    <row r="36" spans="1:8" ht="15.75" thickTop="1" x14ac:dyDescent="0.25">
      <c r="A36" s="42" t="s">
        <v>12</v>
      </c>
      <c r="B36" s="42" t="s">
        <v>12</v>
      </c>
    </row>
    <row r="37" spans="1:8" x14ac:dyDescent="0.25">
      <c r="A37" s="43" t="s">
        <v>12</v>
      </c>
      <c r="B37" s="43" t="s">
        <v>50</v>
      </c>
      <c r="C37" s="76"/>
      <c r="D37" s="76"/>
      <c r="E37" s="76"/>
      <c r="F37" s="76"/>
      <c r="G37" s="76"/>
      <c r="H37" s="73"/>
    </row>
    <row r="38" spans="1:8" x14ac:dyDescent="0.25">
      <c r="A38" s="42" t="s">
        <v>12</v>
      </c>
      <c r="B38" s="42" t="s">
        <v>12</v>
      </c>
    </row>
    <row r="39" spans="1:8" x14ac:dyDescent="0.25">
      <c r="A39" s="43" t="s">
        <v>51</v>
      </c>
      <c r="B39" s="43" t="s">
        <v>52</v>
      </c>
      <c r="C39" s="76"/>
      <c r="D39" s="76"/>
      <c r="E39" s="76"/>
      <c r="F39" s="76"/>
      <c r="G39" s="76"/>
      <c r="H39" s="73"/>
    </row>
    <row r="40" spans="1:8" x14ac:dyDescent="0.25">
      <c r="A40" s="42" t="s">
        <v>53</v>
      </c>
      <c r="B40" s="42" t="s">
        <v>54</v>
      </c>
    </row>
    <row r="41" spans="1:8" x14ac:dyDescent="0.25">
      <c r="A41" s="42" t="s">
        <v>55</v>
      </c>
      <c r="B41" s="42" t="s">
        <v>56</v>
      </c>
    </row>
    <row r="42" spans="1:8" x14ac:dyDescent="0.25">
      <c r="A42" s="42" t="s">
        <v>57</v>
      </c>
      <c r="B42" s="42" t="s">
        <v>58</v>
      </c>
    </row>
    <row r="43" spans="1:8" x14ac:dyDescent="0.25">
      <c r="A43" s="42" t="s">
        <v>59</v>
      </c>
      <c r="B43" s="42" t="s">
        <v>60</v>
      </c>
    </row>
    <row r="44" spans="1:8" x14ac:dyDescent="0.25">
      <c r="A44" s="42" t="s">
        <v>61</v>
      </c>
      <c r="B44" s="42" t="s">
        <v>62</v>
      </c>
    </row>
    <row r="45" spans="1:8" x14ac:dyDescent="0.25">
      <c r="A45" s="42" t="s">
        <v>63</v>
      </c>
      <c r="B45" s="42" t="s">
        <v>64</v>
      </c>
      <c r="H45" s="75"/>
    </row>
    <row r="46" spans="1:8" x14ac:dyDescent="0.25">
      <c r="A46" s="43" t="s">
        <v>65</v>
      </c>
      <c r="B46" s="43" t="s">
        <v>66</v>
      </c>
      <c r="C46" s="76"/>
      <c r="D46" s="76"/>
      <c r="E46" s="76"/>
      <c r="F46" s="76"/>
      <c r="G46" s="76"/>
      <c r="H46" s="73">
        <f>SUM(H40:H45)</f>
        <v>0</v>
      </c>
    </row>
    <row r="47" spans="1:8" x14ac:dyDescent="0.25">
      <c r="A47" s="42" t="s">
        <v>12</v>
      </c>
      <c r="B47" s="42" t="s">
        <v>12</v>
      </c>
    </row>
    <row r="48" spans="1:8" x14ac:dyDescent="0.25">
      <c r="A48" s="43" t="s">
        <v>67</v>
      </c>
      <c r="B48" s="43" t="s">
        <v>68</v>
      </c>
      <c r="C48" s="76"/>
      <c r="D48" s="76"/>
      <c r="E48" s="76"/>
      <c r="F48" s="76"/>
      <c r="G48" s="76"/>
      <c r="H48" s="73"/>
    </row>
    <row r="49" spans="1:8" x14ac:dyDescent="0.25">
      <c r="A49" s="42" t="s">
        <v>69</v>
      </c>
      <c r="B49" s="42" t="s">
        <v>70</v>
      </c>
    </row>
    <row r="50" spans="1:8" x14ac:dyDescent="0.25">
      <c r="A50" s="42" t="s">
        <v>71</v>
      </c>
      <c r="B50" s="42" t="s">
        <v>72</v>
      </c>
    </row>
    <row r="51" spans="1:8" x14ac:dyDescent="0.25">
      <c r="A51" s="42" t="s">
        <v>73</v>
      </c>
      <c r="B51" s="42" t="s">
        <v>74</v>
      </c>
    </row>
    <row r="52" spans="1:8" x14ac:dyDescent="0.25">
      <c r="A52" s="42" t="s">
        <v>75</v>
      </c>
      <c r="B52" s="42" t="s">
        <v>76</v>
      </c>
    </row>
    <row r="53" spans="1:8" x14ac:dyDescent="0.25">
      <c r="A53" s="42" t="s">
        <v>77</v>
      </c>
      <c r="B53" s="42" t="s">
        <v>78</v>
      </c>
    </row>
    <row r="54" spans="1:8" x14ac:dyDescent="0.25">
      <c r="A54" s="42" t="s">
        <v>79</v>
      </c>
      <c r="B54" s="42" t="s">
        <v>80</v>
      </c>
    </row>
    <row r="55" spans="1:8" x14ac:dyDescent="0.25">
      <c r="A55" s="42" t="s">
        <v>81</v>
      </c>
      <c r="B55" s="42" t="s">
        <v>82</v>
      </c>
      <c r="C55" s="75">
        <v>2767173.9</v>
      </c>
      <c r="D55" s="75">
        <v>3247833</v>
      </c>
      <c r="E55" s="75">
        <v>14.8</v>
      </c>
      <c r="F55" s="75">
        <v>85.2</v>
      </c>
      <c r="G55" s="75">
        <v>480659.1</v>
      </c>
      <c r="H55" s="56">
        <v>3247833</v>
      </c>
    </row>
    <row r="56" spans="1:8" x14ac:dyDescent="0.25">
      <c r="A56" s="42" t="s">
        <v>83</v>
      </c>
      <c r="B56" s="42" t="s">
        <v>84</v>
      </c>
    </row>
    <row r="57" spans="1:8" x14ac:dyDescent="0.25">
      <c r="A57" s="42" t="s">
        <v>85</v>
      </c>
      <c r="B57" s="42" t="s">
        <v>86</v>
      </c>
    </row>
    <row r="58" spans="1:8" x14ac:dyDescent="0.25">
      <c r="A58" s="42" t="s">
        <v>87</v>
      </c>
      <c r="B58" s="42" t="s">
        <v>88</v>
      </c>
    </row>
    <row r="59" spans="1:8" x14ac:dyDescent="0.25">
      <c r="A59" s="43" t="s">
        <v>89</v>
      </c>
      <c r="B59" s="43" t="s">
        <v>17</v>
      </c>
      <c r="C59" s="76">
        <v>2767173.9</v>
      </c>
      <c r="D59" s="76">
        <v>3247833</v>
      </c>
      <c r="E59" s="76">
        <v>14.8</v>
      </c>
      <c r="F59" s="76">
        <v>85.2</v>
      </c>
      <c r="G59" s="76">
        <v>480659.1</v>
      </c>
      <c r="H59" s="73">
        <f>SUM(H49:H58)</f>
        <v>3247833</v>
      </c>
    </row>
    <row r="60" spans="1:8" x14ac:dyDescent="0.25">
      <c r="A60" s="42" t="s">
        <v>12</v>
      </c>
      <c r="B60" s="42" t="s">
        <v>12</v>
      </c>
    </row>
    <row r="61" spans="1:8" x14ac:dyDescent="0.25">
      <c r="A61" s="43" t="s">
        <v>90</v>
      </c>
      <c r="B61" s="43" t="s">
        <v>91</v>
      </c>
      <c r="C61" s="76"/>
      <c r="D61" s="76"/>
      <c r="E61" s="76"/>
      <c r="F61" s="76"/>
      <c r="G61" s="76"/>
      <c r="H61" s="73"/>
    </row>
    <row r="62" spans="1:8" x14ac:dyDescent="0.25">
      <c r="A62" s="42" t="s">
        <v>92</v>
      </c>
      <c r="B62" s="42" t="s">
        <v>93</v>
      </c>
    </row>
    <row r="63" spans="1:8" x14ac:dyDescent="0.25">
      <c r="A63" s="43" t="s">
        <v>94</v>
      </c>
      <c r="B63" s="43" t="s">
        <v>95</v>
      </c>
      <c r="C63" s="76"/>
      <c r="D63" s="76"/>
      <c r="E63" s="76"/>
      <c r="F63" s="76"/>
      <c r="G63" s="76"/>
      <c r="H63" s="73">
        <f>H62</f>
        <v>0</v>
      </c>
    </row>
    <row r="64" spans="1:8" x14ac:dyDescent="0.25">
      <c r="A64" s="42" t="s">
        <v>12</v>
      </c>
      <c r="B64" s="42" t="s">
        <v>12</v>
      </c>
    </row>
    <row r="65" spans="1:8" x14ac:dyDescent="0.25">
      <c r="A65" s="43" t="s">
        <v>96</v>
      </c>
      <c r="B65" s="43" t="s">
        <v>97</v>
      </c>
      <c r="C65" s="76">
        <v>2767173.9</v>
      </c>
      <c r="D65" s="76">
        <v>3247833</v>
      </c>
      <c r="E65" s="76">
        <v>14.8</v>
      </c>
      <c r="F65" s="76">
        <v>85.2</v>
      </c>
      <c r="G65" s="76">
        <v>480659.1</v>
      </c>
      <c r="H65" s="73">
        <f>H63+H59+H46</f>
        <v>3247833</v>
      </c>
    </row>
    <row r="66" spans="1:8" x14ac:dyDescent="0.25">
      <c r="A66" s="42" t="s">
        <v>12</v>
      </c>
      <c r="B66" s="42" t="s">
        <v>12</v>
      </c>
    </row>
    <row r="67" spans="1:8" x14ac:dyDescent="0.25">
      <c r="A67" s="43" t="s">
        <v>98</v>
      </c>
      <c r="B67" s="43" t="s">
        <v>99</v>
      </c>
      <c r="C67" s="76"/>
      <c r="D67" s="76"/>
      <c r="E67" s="76"/>
      <c r="F67" s="76"/>
      <c r="G67" s="76"/>
      <c r="H67" s="73"/>
    </row>
    <row r="68" spans="1:8" x14ac:dyDescent="0.25">
      <c r="A68" s="42" t="s">
        <v>100</v>
      </c>
      <c r="B68" s="42" t="s">
        <v>101</v>
      </c>
    </row>
    <row r="69" spans="1:8" x14ac:dyDescent="0.25">
      <c r="A69" s="42" t="s">
        <v>102</v>
      </c>
      <c r="B69" s="42" t="s">
        <v>103</v>
      </c>
    </row>
    <row r="70" spans="1:8" x14ac:dyDescent="0.25">
      <c r="A70" s="43" t="s">
        <v>104</v>
      </c>
      <c r="B70" s="43" t="s">
        <v>105</v>
      </c>
      <c r="C70" s="76"/>
      <c r="D70" s="76"/>
      <c r="E70" s="76"/>
      <c r="F70" s="76"/>
      <c r="G70" s="76"/>
      <c r="H70" s="73"/>
    </row>
    <row r="71" spans="1:8" x14ac:dyDescent="0.25">
      <c r="A71" s="42" t="s">
        <v>12</v>
      </c>
      <c r="B71" s="42" t="s">
        <v>12</v>
      </c>
    </row>
    <row r="72" spans="1:8" x14ac:dyDescent="0.25">
      <c r="A72" s="43" t="s">
        <v>106</v>
      </c>
      <c r="B72" s="43" t="s">
        <v>107</v>
      </c>
      <c r="C72" s="76"/>
      <c r="D72" s="76"/>
      <c r="E72" s="76"/>
      <c r="F72" s="76"/>
      <c r="G72" s="76"/>
      <c r="H72" s="73"/>
    </row>
    <row r="73" spans="1:8" x14ac:dyDescent="0.25">
      <c r="A73" s="42" t="s">
        <v>108</v>
      </c>
      <c r="B73" s="42" t="s">
        <v>109</v>
      </c>
    </row>
    <row r="74" spans="1:8" x14ac:dyDescent="0.25">
      <c r="A74" s="42" t="s">
        <v>110</v>
      </c>
      <c r="B74" s="42" t="s">
        <v>111</v>
      </c>
    </row>
    <row r="75" spans="1:8" x14ac:dyDescent="0.25">
      <c r="A75" s="42" t="s">
        <v>112</v>
      </c>
      <c r="B75" s="42" t="s">
        <v>113</v>
      </c>
    </row>
    <row r="76" spans="1:8" x14ac:dyDescent="0.25">
      <c r="A76" s="42" t="s">
        <v>114</v>
      </c>
      <c r="B76" s="42" t="s">
        <v>115</v>
      </c>
      <c r="C76" s="75">
        <v>-5496.4</v>
      </c>
      <c r="G76" s="75">
        <v>5496.4</v>
      </c>
      <c r="H76" s="56">
        <f>C76</f>
        <v>-5496.4</v>
      </c>
    </row>
    <row r="77" spans="1:8" x14ac:dyDescent="0.25">
      <c r="A77" s="43" t="s">
        <v>116</v>
      </c>
      <c r="B77" s="43" t="s">
        <v>117</v>
      </c>
      <c r="C77" s="76">
        <v>-5496.4</v>
      </c>
      <c r="D77" s="76"/>
      <c r="E77" s="76"/>
      <c r="F77" s="76"/>
      <c r="G77" s="76">
        <v>5496.4</v>
      </c>
      <c r="H77" s="73">
        <f>SUM(H73:H76)</f>
        <v>-5496.4</v>
      </c>
    </row>
    <row r="78" spans="1:8" x14ac:dyDescent="0.25">
      <c r="A78" s="42" t="s">
        <v>12</v>
      </c>
      <c r="B78" s="42" t="s">
        <v>12</v>
      </c>
    </row>
    <row r="79" spans="1:8" x14ac:dyDescent="0.25">
      <c r="A79" s="43" t="s">
        <v>118</v>
      </c>
      <c r="B79" s="43" t="s">
        <v>119</v>
      </c>
      <c r="C79" s="76"/>
      <c r="D79" s="76"/>
      <c r="E79" s="76"/>
      <c r="F79" s="76"/>
      <c r="G79" s="76"/>
      <c r="H79" s="73"/>
    </row>
    <row r="80" spans="1:8" x14ac:dyDescent="0.25">
      <c r="A80" s="42" t="s">
        <v>120</v>
      </c>
      <c r="B80" s="42" t="s">
        <v>121</v>
      </c>
    </row>
    <row r="81" spans="1:8" x14ac:dyDescent="0.25">
      <c r="A81" s="42" t="s">
        <v>122</v>
      </c>
      <c r="B81" s="42" t="s">
        <v>123</v>
      </c>
    </row>
    <row r="82" spans="1:8" x14ac:dyDescent="0.25">
      <c r="A82" s="43" t="s">
        <v>124</v>
      </c>
      <c r="B82" s="43" t="s">
        <v>125</v>
      </c>
      <c r="C82" s="76"/>
      <c r="D82" s="76"/>
      <c r="E82" s="76"/>
      <c r="F82" s="76"/>
      <c r="G82" s="76"/>
      <c r="H82" s="73">
        <f>H80+H81</f>
        <v>0</v>
      </c>
    </row>
    <row r="83" spans="1:8" x14ac:dyDescent="0.25">
      <c r="A83" s="42" t="s">
        <v>12</v>
      </c>
      <c r="B83" s="42" t="s">
        <v>12</v>
      </c>
    </row>
    <row r="84" spans="1:8" x14ac:dyDescent="0.25">
      <c r="A84" s="43" t="s">
        <v>126</v>
      </c>
      <c r="B84" s="43" t="s">
        <v>30</v>
      </c>
      <c r="C84" s="76"/>
      <c r="D84" s="76"/>
      <c r="E84" s="76"/>
      <c r="F84" s="76"/>
      <c r="G84" s="76"/>
      <c r="H84" s="73"/>
    </row>
    <row r="85" spans="1:8" x14ac:dyDescent="0.25">
      <c r="A85" s="42" t="s">
        <v>127</v>
      </c>
      <c r="B85" s="42" t="s">
        <v>128</v>
      </c>
    </row>
    <row r="86" spans="1:8" x14ac:dyDescent="0.25">
      <c r="A86" s="42" t="s">
        <v>129</v>
      </c>
      <c r="B86" s="42" t="s">
        <v>130</v>
      </c>
      <c r="H86" s="56">
        <v>0</v>
      </c>
    </row>
    <row r="87" spans="1:8" x14ac:dyDescent="0.25">
      <c r="A87" s="42" t="s">
        <v>131</v>
      </c>
      <c r="B87" s="42" t="s">
        <v>132</v>
      </c>
    </row>
    <row r="88" spans="1:8" x14ac:dyDescent="0.25">
      <c r="A88" s="42" t="s">
        <v>133</v>
      </c>
      <c r="B88" s="42" t="s">
        <v>134</v>
      </c>
    </row>
    <row r="89" spans="1:8" x14ac:dyDescent="0.25">
      <c r="A89" s="42" t="s">
        <v>135</v>
      </c>
      <c r="B89" s="42" t="s">
        <v>136</v>
      </c>
    </row>
    <row r="90" spans="1:8" x14ac:dyDescent="0.25">
      <c r="A90" s="42" t="s">
        <v>137</v>
      </c>
      <c r="B90" s="42" t="s">
        <v>138</v>
      </c>
      <c r="C90" s="75">
        <v>-772488.94</v>
      </c>
      <c r="D90" s="75">
        <v>-1567025.39</v>
      </c>
      <c r="E90" s="75">
        <v>50.7</v>
      </c>
      <c r="F90" s="75">
        <v>49.3</v>
      </c>
      <c r="G90" s="75">
        <v>-794536.45</v>
      </c>
      <c r="H90" s="56">
        <v>-1371367</v>
      </c>
    </row>
    <row r="91" spans="1:8" x14ac:dyDescent="0.25">
      <c r="A91" s="42" t="s">
        <v>139</v>
      </c>
      <c r="B91" s="42" t="s">
        <v>140</v>
      </c>
    </row>
    <row r="92" spans="1:8" x14ac:dyDescent="0.25">
      <c r="A92" s="42" t="s">
        <v>141</v>
      </c>
      <c r="B92" s="42" t="s">
        <v>142</v>
      </c>
    </row>
    <row r="93" spans="1:8" x14ac:dyDescent="0.25">
      <c r="A93" s="42" t="s">
        <v>143</v>
      </c>
      <c r="B93" s="42" t="s">
        <v>144</v>
      </c>
    </row>
    <row r="94" spans="1:8" x14ac:dyDescent="0.25">
      <c r="A94" s="42" t="s">
        <v>145</v>
      </c>
      <c r="B94" s="42" t="s">
        <v>146</v>
      </c>
    </row>
    <row r="95" spans="1:8" x14ac:dyDescent="0.25">
      <c r="A95" s="42" t="s">
        <v>147</v>
      </c>
      <c r="B95" s="42" t="s">
        <v>148</v>
      </c>
    </row>
    <row r="96" spans="1:8" x14ac:dyDescent="0.25">
      <c r="A96" s="42" t="s">
        <v>149</v>
      </c>
      <c r="B96" s="42" t="s">
        <v>150</v>
      </c>
    </row>
    <row r="97" spans="1:8" x14ac:dyDescent="0.25">
      <c r="A97" s="42" t="s">
        <v>151</v>
      </c>
      <c r="B97" s="42" t="s">
        <v>152</v>
      </c>
    </row>
    <row r="98" spans="1:8" x14ac:dyDescent="0.25">
      <c r="A98" s="42" t="s">
        <v>153</v>
      </c>
      <c r="B98" s="42" t="s">
        <v>154</v>
      </c>
    </row>
    <row r="99" spans="1:8" x14ac:dyDescent="0.25">
      <c r="A99" s="42" t="s">
        <v>155</v>
      </c>
      <c r="B99" s="42" t="s">
        <v>156</v>
      </c>
    </row>
    <row r="100" spans="1:8" x14ac:dyDescent="0.25">
      <c r="A100" s="42" t="s">
        <v>157</v>
      </c>
      <c r="B100" s="42" t="s">
        <v>158</v>
      </c>
    </row>
    <row r="101" spans="1:8" x14ac:dyDescent="0.25">
      <c r="A101" s="42" t="s">
        <v>159</v>
      </c>
      <c r="B101" s="42" t="s">
        <v>160</v>
      </c>
    </row>
    <row r="102" spans="1:8" x14ac:dyDescent="0.25">
      <c r="A102" s="42" t="s">
        <v>161</v>
      </c>
      <c r="B102" s="42" t="s">
        <v>162</v>
      </c>
    </row>
    <row r="103" spans="1:8" x14ac:dyDescent="0.25">
      <c r="A103" s="42" t="s">
        <v>163</v>
      </c>
      <c r="B103" s="42" t="s">
        <v>164</v>
      </c>
    </row>
    <row r="104" spans="1:8" x14ac:dyDescent="0.25">
      <c r="A104" s="42" t="s">
        <v>165</v>
      </c>
      <c r="B104" s="42" t="s">
        <v>166</v>
      </c>
    </row>
    <row r="105" spans="1:8" x14ac:dyDescent="0.25">
      <c r="A105" s="42" t="s">
        <v>167</v>
      </c>
      <c r="B105" s="42" t="s">
        <v>168</v>
      </c>
    </row>
    <row r="106" spans="1:8" x14ac:dyDescent="0.25">
      <c r="A106" s="42" t="s">
        <v>169</v>
      </c>
      <c r="B106" s="42" t="s">
        <v>170</v>
      </c>
    </row>
    <row r="107" spans="1:8" x14ac:dyDescent="0.25">
      <c r="A107" s="43" t="s">
        <v>171</v>
      </c>
      <c r="B107" s="43" t="s">
        <v>172</v>
      </c>
      <c r="C107" s="76">
        <v>-772488.94</v>
      </c>
      <c r="D107" s="76">
        <v>-1567025.39</v>
      </c>
      <c r="E107" s="76">
        <v>50.7</v>
      </c>
      <c r="F107" s="76">
        <v>49.3</v>
      </c>
      <c r="G107" s="76">
        <v>-794536.45</v>
      </c>
      <c r="H107" s="73">
        <f>SUM(H85:H106)</f>
        <v>-1371367</v>
      </c>
    </row>
    <row r="108" spans="1:8" x14ac:dyDescent="0.25">
      <c r="A108" s="42" t="s">
        <v>12</v>
      </c>
      <c r="B108" s="42" t="s">
        <v>12</v>
      </c>
    </row>
    <row r="109" spans="1:8" x14ac:dyDescent="0.25">
      <c r="A109" s="43" t="s">
        <v>173</v>
      </c>
      <c r="B109" s="43" t="s">
        <v>174</v>
      </c>
      <c r="C109" s="76"/>
      <c r="D109" s="76"/>
      <c r="E109" s="76"/>
      <c r="F109" s="76"/>
      <c r="G109" s="76"/>
      <c r="H109" s="73"/>
    </row>
    <row r="110" spans="1:8" x14ac:dyDescent="0.25">
      <c r="A110" s="42" t="s">
        <v>175</v>
      </c>
      <c r="B110" s="42" t="s">
        <v>174</v>
      </c>
      <c r="C110" s="75">
        <v>-137073.81</v>
      </c>
      <c r="D110" s="75">
        <v>-320957.01</v>
      </c>
      <c r="E110" s="75">
        <v>57.29</v>
      </c>
      <c r="F110" s="75">
        <v>42.71</v>
      </c>
      <c r="G110" s="75">
        <v>-183883.2</v>
      </c>
      <c r="H110" s="56">
        <v>-233132.39</v>
      </c>
    </row>
    <row r="111" spans="1:8" x14ac:dyDescent="0.25">
      <c r="A111" s="42" t="s">
        <v>176</v>
      </c>
      <c r="B111" s="42" t="s">
        <v>177</v>
      </c>
    </row>
    <row r="112" spans="1:8" x14ac:dyDescent="0.25">
      <c r="A112" s="43" t="s">
        <v>178</v>
      </c>
      <c r="B112" s="43" t="s">
        <v>179</v>
      </c>
      <c r="C112" s="76">
        <v>-137073.81</v>
      </c>
      <c r="D112" s="76">
        <v>-320957.01</v>
      </c>
      <c r="E112" s="76">
        <v>57.29</v>
      </c>
      <c r="F112" s="76">
        <v>42.71</v>
      </c>
      <c r="G112" s="76">
        <v>-183883.2</v>
      </c>
      <c r="H112" s="73">
        <f>H110+H111</f>
        <v>-233132.39</v>
      </c>
    </row>
    <row r="113" spans="1:8" x14ac:dyDescent="0.25">
      <c r="A113" s="42" t="s">
        <v>12</v>
      </c>
      <c r="B113" s="42" t="s">
        <v>12</v>
      </c>
    </row>
    <row r="114" spans="1:8" x14ac:dyDescent="0.25">
      <c r="A114" s="43" t="s">
        <v>180</v>
      </c>
      <c r="B114" s="43" t="s">
        <v>181</v>
      </c>
      <c r="C114" s="76"/>
      <c r="D114" s="76"/>
      <c r="E114" s="76"/>
      <c r="F114" s="76"/>
      <c r="G114" s="76"/>
      <c r="H114" s="73"/>
    </row>
    <row r="115" spans="1:8" x14ac:dyDescent="0.25">
      <c r="A115" s="42" t="s">
        <v>182</v>
      </c>
      <c r="B115" s="42" t="s">
        <v>183</v>
      </c>
      <c r="D115" s="75">
        <v>600000</v>
      </c>
      <c r="E115" s="75">
        <v>100</v>
      </c>
      <c r="G115" s="75">
        <v>600000</v>
      </c>
    </row>
    <row r="116" spans="1:8" x14ac:dyDescent="0.25">
      <c r="A116" s="42" t="s">
        <v>184</v>
      </c>
      <c r="B116" s="42" t="s">
        <v>185</v>
      </c>
      <c r="H116" s="56">
        <f>C116*4</f>
        <v>0</v>
      </c>
    </row>
    <row r="117" spans="1:8" x14ac:dyDescent="0.25">
      <c r="A117" s="42" t="s">
        <v>186</v>
      </c>
      <c r="B117" s="42" t="s">
        <v>187</v>
      </c>
    </row>
    <row r="118" spans="1:8" x14ac:dyDescent="0.25">
      <c r="A118" s="42" t="s">
        <v>188</v>
      </c>
      <c r="B118" s="42" t="s">
        <v>189</v>
      </c>
    </row>
    <row r="119" spans="1:8" x14ac:dyDescent="0.25">
      <c r="A119" s="42" t="s">
        <v>190</v>
      </c>
      <c r="B119" s="42" t="s">
        <v>191</v>
      </c>
    </row>
    <row r="120" spans="1:8" x14ac:dyDescent="0.25">
      <c r="A120" s="42" t="s">
        <v>192</v>
      </c>
      <c r="B120" s="42" t="s">
        <v>193</v>
      </c>
    </row>
    <row r="121" spans="1:8" x14ac:dyDescent="0.25">
      <c r="A121" s="42" t="s">
        <v>194</v>
      </c>
      <c r="B121" s="42" t="s">
        <v>195</v>
      </c>
    </row>
    <row r="122" spans="1:8" x14ac:dyDescent="0.25">
      <c r="A122" s="43" t="s">
        <v>196</v>
      </c>
      <c r="B122" s="43" t="s">
        <v>197</v>
      </c>
      <c r="C122" s="76"/>
      <c r="D122" s="76">
        <v>600000</v>
      </c>
      <c r="E122" s="76">
        <v>100</v>
      </c>
      <c r="F122" s="76"/>
      <c r="G122" s="76">
        <v>600000</v>
      </c>
      <c r="H122" s="73">
        <f>SUM(H115:H121)</f>
        <v>0</v>
      </c>
    </row>
    <row r="123" spans="1:8" x14ac:dyDescent="0.25">
      <c r="A123" s="43" t="s">
        <v>198</v>
      </c>
      <c r="B123" s="43" t="s">
        <v>199</v>
      </c>
      <c r="C123" s="76">
        <v>-909562.75</v>
      </c>
      <c r="D123" s="76">
        <v>-1287982.3999999999</v>
      </c>
      <c r="E123" s="76">
        <v>29.38</v>
      </c>
      <c r="F123" s="76">
        <v>70.62</v>
      </c>
      <c r="G123" s="76">
        <v>-378419.65</v>
      </c>
      <c r="H123" s="73">
        <f>H122+H112+H107</f>
        <v>-1604499.3900000001</v>
      </c>
    </row>
    <row r="124" spans="1:8" x14ac:dyDescent="0.25">
      <c r="A124" s="42" t="s">
        <v>12</v>
      </c>
      <c r="B124" s="42" t="s">
        <v>12</v>
      </c>
    </row>
    <row r="125" spans="1:8" x14ac:dyDescent="0.25">
      <c r="A125" s="43" t="s">
        <v>200</v>
      </c>
      <c r="B125" s="43" t="s">
        <v>201</v>
      </c>
      <c r="C125" s="76">
        <v>-915059.15</v>
      </c>
      <c r="D125" s="76">
        <v>-1287982.3999999999</v>
      </c>
      <c r="E125" s="76">
        <v>28.95</v>
      </c>
      <c r="F125" s="76">
        <v>71.05</v>
      </c>
      <c r="G125" s="76">
        <v>-372923.25</v>
      </c>
      <c r="H125" s="73">
        <f>H123+H82+H77</f>
        <v>-1609995.79</v>
      </c>
    </row>
    <row r="126" spans="1:8" x14ac:dyDescent="0.25">
      <c r="A126" s="42" t="s">
        <v>12</v>
      </c>
      <c r="B126" s="42" t="s">
        <v>12</v>
      </c>
    </row>
    <row r="127" spans="1:8" x14ac:dyDescent="0.25">
      <c r="A127" s="43" t="s">
        <v>202</v>
      </c>
      <c r="B127" s="43" t="s">
        <v>203</v>
      </c>
      <c r="C127" s="76">
        <v>1852114.75</v>
      </c>
      <c r="D127" s="76">
        <v>1959850.6</v>
      </c>
      <c r="E127" s="76">
        <v>5.5</v>
      </c>
      <c r="F127" s="76">
        <v>94.5</v>
      </c>
      <c r="G127" s="76">
        <v>107735.85</v>
      </c>
      <c r="H127" s="73">
        <f>H125+H65</f>
        <v>1637837.21</v>
      </c>
    </row>
    <row r="128" spans="1:8" x14ac:dyDescent="0.25">
      <c r="A128" s="42" t="s">
        <v>12</v>
      </c>
      <c r="B128" s="42" t="s">
        <v>12</v>
      </c>
    </row>
    <row r="129" spans="1:8" x14ac:dyDescent="0.25">
      <c r="A129" s="43" t="s">
        <v>204</v>
      </c>
      <c r="B129" s="43" t="s">
        <v>205</v>
      </c>
      <c r="C129" s="76"/>
      <c r="D129" s="76"/>
      <c r="E129" s="76"/>
      <c r="F129" s="76"/>
      <c r="G129" s="76"/>
      <c r="H129" s="73"/>
    </row>
    <row r="130" spans="1:8" x14ac:dyDescent="0.25">
      <c r="A130" s="42" t="s">
        <v>206</v>
      </c>
      <c r="B130" s="42" t="s">
        <v>207</v>
      </c>
    </row>
    <row r="131" spans="1:8" x14ac:dyDescent="0.25">
      <c r="A131" s="42" t="s">
        <v>208</v>
      </c>
      <c r="B131" s="42" t="s">
        <v>209</v>
      </c>
    </row>
    <row r="132" spans="1:8" x14ac:dyDescent="0.25">
      <c r="A132" s="42" t="s">
        <v>210</v>
      </c>
      <c r="B132" s="42" t="s">
        <v>211</v>
      </c>
    </row>
    <row r="133" spans="1:8" x14ac:dyDescent="0.25">
      <c r="A133" s="42" t="s">
        <v>212</v>
      </c>
      <c r="B133" s="42" t="s">
        <v>213</v>
      </c>
    </row>
    <row r="134" spans="1:8" x14ac:dyDescent="0.25">
      <c r="A134" s="42" t="s">
        <v>214</v>
      </c>
      <c r="B134" s="42" t="s">
        <v>215</v>
      </c>
    </row>
    <row r="135" spans="1:8" x14ac:dyDescent="0.25">
      <c r="A135" s="42" t="s">
        <v>216</v>
      </c>
      <c r="B135" s="42" t="s">
        <v>217</v>
      </c>
    </row>
    <row r="136" spans="1:8" x14ac:dyDescent="0.25">
      <c r="A136" s="43" t="s">
        <v>218</v>
      </c>
      <c r="B136" s="43" t="s">
        <v>219</v>
      </c>
      <c r="C136" s="76"/>
      <c r="D136" s="76"/>
      <c r="E136" s="76"/>
      <c r="F136" s="76"/>
      <c r="G136" s="76"/>
      <c r="H136" s="73">
        <f>SUM(H130:H135)</f>
        <v>0</v>
      </c>
    </row>
    <row r="137" spans="1:8" x14ac:dyDescent="0.25">
      <c r="A137" s="42" t="s">
        <v>12</v>
      </c>
      <c r="B137" s="42" t="s">
        <v>12</v>
      </c>
    </row>
    <row r="138" spans="1:8" x14ac:dyDescent="0.25">
      <c r="A138" s="43" t="s">
        <v>220</v>
      </c>
      <c r="B138" s="43" t="s">
        <v>221</v>
      </c>
      <c r="C138" s="76"/>
      <c r="D138" s="76"/>
      <c r="E138" s="76"/>
      <c r="F138" s="76"/>
      <c r="G138" s="76"/>
      <c r="H138" s="73"/>
    </row>
    <row r="139" spans="1:8" x14ac:dyDescent="0.25">
      <c r="A139" s="42" t="s">
        <v>222</v>
      </c>
      <c r="B139" s="42" t="s">
        <v>223</v>
      </c>
    </row>
    <row r="140" spans="1:8" x14ac:dyDescent="0.25">
      <c r="A140" s="42" t="s">
        <v>224</v>
      </c>
      <c r="B140" s="42" t="s">
        <v>225</v>
      </c>
    </row>
    <row r="141" spans="1:8" x14ac:dyDescent="0.25">
      <c r="A141" s="42" t="s">
        <v>226</v>
      </c>
      <c r="B141" s="42" t="s">
        <v>227</v>
      </c>
    </row>
    <row r="142" spans="1:8" x14ac:dyDescent="0.25">
      <c r="A142" s="42" t="s">
        <v>228</v>
      </c>
      <c r="B142" s="42" t="s">
        <v>229</v>
      </c>
    </row>
    <row r="143" spans="1:8" x14ac:dyDescent="0.25">
      <c r="A143" s="42" t="s">
        <v>230</v>
      </c>
      <c r="B143" s="42" t="s">
        <v>231</v>
      </c>
      <c r="C143" s="75">
        <v>-1180.8</v>
      </c>
      <c r="G143" s="75">
        <v>1180.8</v>
      </c>
      <c r="H143" s="56">
        <f>C143</f>
        <v>-1180.8</v>
      </c>
    </row>
    <row r="144" spans="1:8" x14ac:dyDescent="0.25">
      <c r="A144" s="42" t="s">
        <v>232</v>
      </c>
      <c r="B144" s="42" t="s">
        <v>233</v>
      </c>
      <c r="C144" s="75">
        <v>-563.55999999999995</v>
      </c>
      <c r="D144" s="75">
        <v>-10000</v>
      </c>
      <c r="E144" s="75">
        <v>94.36</v>
      </c>
      <c r="F144" s="75">
        <v>5.64</v>
      </c>
      <c r="G144" s="75">
        <v>-9436.44</v>
      </c>
      <c r="H144" s="56">
        <v>-10000</v>
      </c>
    </row>
    <row r="145" spans="1:8" x14ac:dyDescent="0.25">
      <c r="A145" s="42" t="s">
        <v>234</v>
      </c>
      <c r="B145" s="42" t="s">
        <v>235</v>
      </c>
    </row>
    <row r="146" spans="1:8" x14ac:dyDescent="0.25">
      <c r="A146" s="42" t="s">
        <v>236</v>
      </c>
      <c r="B146" s="42" t="s">
        <v>237</v>
      </c>
      <c r="C146" s="75">
        <v>-5012</v>
      </c>
      <c r="D146" s="75">
        <v>-5000</v>
      </c>
      <c r="E146" s="75">
        <v>-0.24</v>
      </c>
      <c r="F146" s="75">
        <v>100.24</v>
      </c>
      <c r="G146" s="75">
        <v>12</v>
      </c>
      <c r="H146" s="56">
        <f>C146</f>
        <v>-5012</v>
      </c>
    </row>
    <row r="147" spans="1:8" x14ac:dyDescent="0.25">
      <c r="A147" s="42" t="s">
        <v>238</v>
      </c>
      <c r="B147" s="42" t="s">
        <v>239</v>
      </c>
      <c r="C147" s="75">
        <v>-505.6</v>
      </c>
      <c r="D147" s="75">
        <v>-8000</v>
      </c>
      <c r="E147" s="75">
        <v>93.68</v>
      </c>
      <c r="F147" s="75">
        <v>6.32</v>
      </c>
      <c r="G147" s="75">
        <v>-7494.4</v>
      </c>
      <c r="H147" s="56">
        <v>-8000</v>
      </c>
    </row>
    <row r="148" spans="1:8" x14ac:dyDescent="0.25">
      <c r="A148" s="42" t="s">
        <v>240</v>
      </c>
      <c r="B148" s="42" t="s">
        <v>241</v>
      </c>
    </row>
    <row r="149" spans="1:8" x14ac:dyDescent="0.25">
      <c r="A149" s="42" t="s">
        <v>242</v>
      </c>
      <c r="B149" s="42" t="s">
        <v>243</v>
      </c>
      <c r="D149" s="75">
        <v>-37660</v>
      </c>
      <c r="E149" s="75">
        <v>100</v>
      </c>
      <c r="G149" s="75">
        <v>-37660</v>
      </c>
      <c r="H149" s="56">
        <v>-37660</v>
      </c>
    </row>
    <row r="150" spans="1:8" x14ac:dyDescent="0.25">
      <c r="A150" s="42" t="s">
        <v>244</v>
      </c>
      <c r="B150" s="42" t="s">
        <v>245</v>
      </c>
    </row>
    <row r="151" spans="1:8" x14ac:dyDescent="0.25">
      <c r="A151" s="42" t="s">
        <v>246</v>
      </c>
      <c r="B151" s="42" t="s">
        <v>247</v>
      </c>
      <c r="C151" s="75">
        <v>-3398.24</v>
      </c>
      <c r="D151" s="75">
        <v>-130000</v>
      </c>
      <c r="E151" s="75">
        <v>97.39</v>
      </c>
      <c r="F151" s="75">
        <v>2.61</v>
      </c>
      <c r="G151" s="75">
        <v>-126601.76</v>
      </c>
      <c r="H151" s="56">
        <f>C151</f>
        <v>-3398.24</v>
      </c>
    </row>
    <row r="152" spans="1:8" x14ac:dyDescent="0.25">
      <c r="A152" s="42" t="s">
        <v>248</v>
      </c>
      <c r="B152" s="42" t="s">
        <v>249</v>
      </c>
      <c r="C152" s="75">
        <v>-5692</v>
      </c>
      <c r="D152" s="75">
        <v>-20000</v>
      </c>
      <c r="E152" s="75">
        <v>71.540000000000006</v>
      </c>
      <c r="F152" s="75">
        <v>28.46</v>
      </c>
      <c r="G152" s="75">
        <v>-14308</v>
      </c>
      <c r="H152" s="56">
        <v>-20000</v>
      </c>
    </row>
    <row r="153" spans="1:8" x14ac:dyDescent="0.25">
      <c r="A153" s="42" t="s">
        <v>250</v>
      </c>
      <c r="B153" s="42" t="s">
        <v>251</v>
      </c>
    </row>
    <row r="154" spans="1:8" x14ac:dyDescent="0.25">
      <c r="A154" s="42" t="s">
        <v>252</v>
      </c>
      <c r="B154" s="42" t="s">
        <v>253</v>
      </c>
    </row>
    <row r="155" spans="1:8" x14ac:dyDescent="0.25">
      <c r="A155" s="42" t="s">
        <v>254</v>
      </c>
      <c r="B155" s="42" t="s">
        <v>255</v>
      </c>
    </row>
    <row r="156" spans="1:8" x14ac:dyDescent="0.25">
      <c r="A156" s="42" t="s">
        <v>256</v>
      </c>
      <c r="B156" s="42" t="s">
        <v>257</v>
      </c>
    </row>
    <row r="157" spans="1:8" x14ac:dyDescent="0.25">
      <c r="A157" s="42" t="s">
        <v>258</v>
      </c>
      <c r="B157" s="42" t="s">
        <v>259</v>
      </c>
    </row>
    <row r="158" spans="1:8" x14ac:dyDescent="0.25">
      <c r="A158" s="42" t="s">
        <v>260</v>
      </c>
      <c r="B158" s="42" t="s">
        <v>261</v>
      </c>
    </row>
    <row r="159" spans="1:8" x14ac:dyDescent="0.25">
      <c r="A159" s="42" t="s">
        <v>262</v>
      </c>
      <c r="B159" s="42" t="s">
        <v>263</v>
      </c>
      <c r="C159" s="75">
        <v>-358.7</v>
      </c>
      <c r="G159" s="75">
        <v>358.7</v>
      </c>
      <c r="H159" s="56">
        <f>C159</f>
        <v>-358.7</v>
      </c>
    </row>
    <row r="160" spans="1:8" x14ac:dyDescent="0.25">
      <c r="A160" s="42" t="s">
        <v>264</v>
      </c>
      <c r="B160" s="42" t="s">
        <v>265</v>
      </c>
    </row>
    <row r="161" spans="1:8" x14ac:dyDescent="0.25">
      <c r="A161" s="42" t="s">
        <v>266</v>
      </c>
      <c r="B161" s="42" t="s">
        <v>267</v>
      </c>
    </row>
    <row r="162" spans="1:8" x14ac:dyDescent="0.25">
      <c r="A162" s="42" t="s">
        <v>268</v>
      </c>
      <c r="B162" s="42" t="s">
        <v>269</v>
      </c>
      <c r="C162" s="75">
        <v>-319835.71999999997</v>
      </c>
      <c r="D162" s="75">
        <v>-400000</v>
      </c>
      <c r="E162" s="75">
        <v>20.04</v>
      </c>
      <c r="F162" s="75">
        <v>79.959999999999994</v>
      </c>
      <c r="G162" s="75">
        <v>-80164.28</v>
      </c>
      <c r="H162" s="56">
        <f>C162*2</f>
        <v>-639671.43999999994</v>
      </c>
    </row>
    <row r="163" spans="1:8" x14ac:dyDescent="0.25">
      <c r="A163" s="42" t="s">
        <v>270</v>
      </c>
      <c r="B163" s="42" t="s">
        <v>271</v>
      </c>
      <c r="C163" s="75">
        <v>-4841.38</v>
      </c>
      <c r="D163" s="75">
        <v>-15000</v>
      </c>
      <c r="E163" s="75">
        <v>67.72</v>
      </c>
      <c r="F163" s="75">
        <v>32.28</v>
      </c>
      <c r="G163" s="75">
        <v>-10158.620000000001</v>
      </c>
      <c r="H163" s="56">
        <v>-15000</v>
      </c>
    </row>
    <row r="164" spans="1:8" x14ac:dyDescent="0.25">
      <c r="A164" s="42" t="s">
        <v>272</v>
      </c>
      <c r="B164" s="42" t="s">
        <v>273</v>
      </c>
      <c r="C164" s="75">
        <v>-141326.01</v>
      </c>
      <c r="D164" s="75">
        <v>-110000</v>
      </c>
      <c r="E164" s="75">
        <v>-28.48</v>
      </c>
      <c r="F164" s="75">
        <v>128.47999999999999</v>
      </c>
      <c r="G164" s="75">
        <v>31326.01</v>
      </c>
      <c r="H164" s="56">
        <f>C164*2</f>
        <v>-282652.02</v>
      </c>
    </row>
    <row r="165" spans="1:8" x14ac:dyDescent="0.25">
      <c r="A165" s="42" t="s">
        <v>274</v>
      </c>
      <c r="B165" s="42" t="s">
        <v>275</v>
      </c>
    </row>
    <row r="166" spans="1:8" x14ac:dyDescent="0.25">
      <c r="A166" s="42" t="s">
        <v>276</v>
      </c>
      <c r="B166" s="42" t="s">
        <v>277</v>
      </c>
      <c r="C166" s="75">
        <v>-407.85</v>
      </c>
      <c r="G166" s="75">
        <v>407.85</v>
      </c>
      <c r="H166" s="56">
        <f>C166</f>
        <v>-407.85</v>
      </c>
    </row>
    <row r="167" spans="1:8" x14ac:dyDescent="0.25">
      <c r="A167" s="42" t="s">
        <v>278</v>
      </c>
      <c r="B167" s="42" t="s">
        <v>279</v>
      </c>
      <c r="C167" s="75">
        <v>229516.88</v>
      </c>
      <c r="G167" s="75">
        <v>-229516.88</v>
      </c>
      <c r="H167" s="56">
        <f>C167*2</f>
        <v>459033.76</v>
      </c>
    </row>
    <row r="168" spans="1:8" x14ac:dyDescent="0.25">
      <c r="A168" s="42" t="s">
        <v>280</v>
      </c>
      <c r="B168" s="42" t="s">
        <v>281</v>
      </c>
    </row>
    <row r="169" spans="1:8" x14ac:dyDescent="0.25">
      <c r="A169" s="42" t="s">
        <v>282</v>
      </c>
      <c r="B169" s="42" t="s">
        <v>283</v>
      </c>
    </row>
    <row r="170" spans="1:8" x14ac:dyDescent="0.25">
      <c r="A170" s="42" t="s">
        <v>284</v>
      </c>
      <c r="B170" s="42" t="s">
        <v>285</v>
      </c>
    </row>
    <row r="171" spans="1:8" x14ac:dyDescent="0.25">
      <c r="A171" s="42" t="s">
        <v>286</v>
      </c>
      <c r="B171" s="42" t="s">
        <v>287</v>
      </c>
    </row>
    <row r="172" spans="1:8" x14ac:dyDescent="0.25">
      <c r="A172" s="42" t="s">
        <v>288</v>
      </c>
      <c r="B172" s="42" t="s">
        <v>289</v>
      </c>
      <c r="C172" s="75">
        <v>-15900</v>
      </c>
      <c r="G172" s="75">
        <v>15900</v>
      </c>
      <c r="H172" s="56">
        <v>-15900</v>
      </c>
    </row>
    <row r="173" spans="1:8" x14ac:dyDescent="0.25">
      <c r="A173" s="42" t="s">
        <v>290</v>
      </c>
      <c r="B173" s="42" t="s">
        <v>291</v>
      </c>
    </row>
    <row r="174" spans="1:8" x14ac:dyDescent="0.25">
      <c r="A174" s="42" t="s">
        <v>292</v>
      </c>
      <c r="B174" s="42" t="s">
        <v>293</v>
      </c>
      <c r="C174" s="75">
        <v>-2196.9699999999998</v>
      </c>
      <c r="D174" s="75">
        <v>-15000</v>
      </c>
      <c r="E174" s="75">
        <v>85.35</v>
      </c>
      <c r="F174" s="75">
        <v>14.65</v>
      </c>
      <c r="G174" s="75">
        <v>-12803.03</v>
      </c>
      <c r="H174" s="56">
        <v>-15000</v>
      </c>
    </row>
    <row r="175" spans="1:8" x14ac:dyDescent="0.25">
      <c r="A175" s="42" t="s">
        <v>294</v>
      </c>
      <c r="B175" s="42" t="s">
        <v>295</v>
      </c>
      <c r="C175" s="75">
        <v>-8700</v>
      </c>
      <c r="G175" s="75">
        <v>8700</v>
      </c>
      <c r="H175" s="56">
        <f>C175</f>
        <v>-8700</v>
      </c>
    </row>
    <row r="176" spans="1:8" x14ac:dyDescent="0.25">
      <c r="A176" s="42" t="s">
        <v>296</v>
      </c>
      <c r="B176" s="42" t="s">
        <v>297</v>
      </c>
      <c r="C176" s="75">
        <v>-100</v>
      </c>
      <c r="G176" s="75">
        <v>100</v>
      </c>
      <c r="H176" s="56">
        <f>C176</f>
        <v>-100</v>
      </c>
    </row>
    <row r="177" spans="1:8" x14ac:dyDescent="0.25">
      <c r="A177" s="42" t="s">
        <v>298</v>
      </c>
      <c r="B177" s="42" t="s">
        <v>299</v>
      </c>
      <c r="C177" s="75">
        <v>-477.28</v>
      </c>
      <c r="G177" s="75">
        <v>477.28</v>
      </c>
      <c r="H177" s="56">
        <f>C177</f>
        <v>-477.28</v>
      </c>
    </row>
    <row r="178" spans="1:8" x14ac:dyDescent="0.25">
      <c r="A178" s="42" t="s">
        <v>300</v>
      </c>
      <c r="B178" s="42" t="s">
        <v>301</v>
      </c>
      <c r="C178" s="75">
        <v>-7000</v>
      </c>
      <c r="D178" s="75">
        <v>-14619</v>
      </c>
      <c r="E178" s="75">
        <v>52.12</v>
      </c>
      <c r="F178" s="75">
        <v>47.88</v>
      </c>
      <c r="G178" s="75">
        <v>-7619</v>
      </c>
      <c r="H178" s="56">
        <v>-14619</v>
      </c>
    </row>
    <row r="179" spans="1:8" x14ac:dyDescent="0.25">
      <c r="A179" s="42" t="s">
        <v>302</v>
      </c>
      <c r="B179" s="42" t="s">
        <v>303</v>
      </c>
      <c r="C179" s="75">
        <v>-551</v>
      </c>
      <c r="G179" s="75">
        <v>551</v>
      </c>
      <c r="H179" s="56">
        <v>-551</v>
      </c>
    </row>
    <row r="180" spans="1:8" x14ac:dyDescent="0.25">
      <c r="A180" s="42" t="s">
        <v>304</v>
      </c>
      <c r="B180" s="42" t="s">
        <v>305</v>
      </c>
    </row>
    <row r="181" spans="1:8" x14ac:dyDescent="0.25">
      <c r="A181" s="42" t="s">
        <v>306</v>
      </c>
      <c r="B181" s="42" t="s">
        <v>307</v>
      </c>
      <c r="C181" s="75">
        <v>-2034</v>
      </c>
      <c r="D181" s="75">
        <v>-10000</v>
      </c>
      <c r="E181" s="75">
        <v>79.66</v>
      </c>
      <c r="F181" s="75">
        <v>20.34</v>
      </c>
      <c r="G181" s="75">
        <v>-7966</v>
      </c>
      <c r="H181" s="56">
        <v>-10000</v>
      </c>
    </row>
    <row r="182" spans="1:8" x14ac:dyDescent="0.25">
      <c r="A182" s="42" t="s">
        <v>308</v>
      </c>
      <c r="B182" s="42" t="s">
        <v>309</v>
      </c>
      <c r="C182" s="75">
        <v>-6585.29</v>
      </c>
      <c r="D182" s="75">
        <v>-170000</v>
      </c>
      <c r="E182" s="75">
        <v>96.13</v>
      </c>
      <c r="F182" s="75">
        <v>3.87</v>
      </c>
      <c r="G182" s="75">
        <v>-163414.71</v>
      </c>
      <c r="H182" s="56">
        <v>-170000</v>
      </c>
    </row>
    <row r="183" spans="1:8" x14ac:dyDescent="0.25">
      <c r="A183" s="42" t="s">
        <v>310</v>
      </c>
      <c r="B183" s="42" t="s">
        <v>311</v>
      </c>
    </row>
    <row r="184" spans="1:8" x14ac:dyDescent="0.25">
      <c r="A184" s="42" t="s">
        <v>312</v>
      </c>
      <c r="B184" s="42" t="s">
        <v>313</v>
      </c>
    </row>
    <row r="185" spans="1:8" x14ac:dyDescent="0.25">
      <c r="A185" s="42" t="s">
        <v>314</v>
      </c>
      <c r="B185" s="42" t="s">
        <v>315</v>
      </c>
      <c r="C185" s="75">
        <v>-7055.98</v>
      </c>
      <c r="D185" s="75">
        <v>-20000</v>
      </c>
      <c r="E185" s="75">
        <v>64.72</v>
      </c>
      <c r="F185" s="75">
        <v>35.28</v>
      </c>
      <c r="G185" s="75">
        <v>-12944.02</v>
      </c>
      <c r="H185" s="56">
        <v>-20000</v>
      </c>
    </row>
    <row r="186" spans="1:8" x14ac:dyDescent="0.25">
      <c r="A186" s="42" t="s">
        <v>316</v>
      </c>
      <c r="B186" s="42" t="s">
        <v>317</v>
      </c>
    </row>
    <row r="187" spans="1:8" x14ac:dyDescent="0.25">
      <c r="A187" s="42" t="s">
        <v>318</v>
      </c>
      <c r="B187" s="42" t="s">
        <v>319</v>
      </c>
      <c r="C187" s="75">
        <v>-8514.9500000000007</v>
      </c>
      <c r="D187" s="75">
        <v>-10000</v>
      </c>
      <c r="E187" s="75">
        <v>14.85</v>
      </c>
      <c r="F187" s="75">
        <v>85.15</v>
      </c>
      <c r="G187" s="75">
        <v>-1485.05</v>
      </c>
      <c r="H187" s="56">
        <v>-10000</v>
      </c>
    </row>
    <row r="188" spans="1:8" x14ac:dyDescent="0.25">
      <c r="A188" s="42" t="s">
        <v>320</v>
      </c>
      <c r="B188" s="42" t="s">
        <v>321</v>
      </c>
      <c r="C188" s="75">
        <v>-172</v>
      </c>
      <c r="G188" s="75">
        <v>172</v>
      </c>
      <c r="H188" s="56">
        <f>C188</f>
        <v>-172</v>
      </c>
    </row>
    <row r="189" spans="1:8" x14ac:dyDescent="0.25">
      <c r="A189" s="42" t="s">
        <v>322</v>
      </c>
      <c r="B189" s="42" t="s">
        <v>323</v>
      </c>
      <c r="C189" s="75">
        <v>-278901.64</v>
      </c>
      <c r="D189" s="75">
        <v>-1000000</v>
      </c>
      <c r="E189" s="75">
        <v>72.11</v>
      </c>
      <c r="F189" s="75">
        <v>27.89</v>
      </c>
      <c r="G189" s="75">
        <v>-721098.36</v>
      </c>
      <c r="H189" s="56">
        <v>-1000000</v>
      </c>
    </row>
    <row r="190" spans="1:8" x14ac:dyDescent="0.25">
      <c r="A190" s="42" t="s">
        <v>324</v>
      </c>
      <c r="B190" s="42" t="s">
        <v>325</v>
      </c>
    </row>
    <row r="191" spans="1:8" x14ac:dyDescent="0.25">
      <c r="A191" s="42" t="s">
        <v>326</v>
      </c>
      <c r="B191" s="42" t="s">
        <v>327</v>
      </c>
    </row>
    <row r="192" spans="1:8" x14ac:dyDescent="0.25">
      <c r="A192" s="42" t="s">
        <v>328</v>
      </c>
      <c r="B192" s="42" t="s">
        <v>329</v>
      </c>
    </row>
    <row r="193" spans="1:8" x14ac:dyDescent="0.25">
      <c r="A193" s="42" t="s">
        <v>330</v>
      </c>
      <c r="B193" s="42" t="s">
        <v>331</v>
      </c>
      <c r="C193" s="75">
        <v>-87632.4</v>
      </c>
      <c r="D193" s="75">
        <v>-30218</v>
      </c>
      <c r="E193" s="75">
        <v>-190</v>
      </c>
      <c r="F193" s="75">
        <v>290</v>
      </c>
      <c r="G193" s="75">
        <v>57414.400000000001</v>
      </c>
      <c r="H193" s="56">
        <f>C193</f>
        <v>-87632.4</v>
      </c>
    </row>
    <row r="194" spans="1:8" x14ac:dyDescent="0.25">
      <c r="A194" s="42" t="s">
        <v>332</v>
      </c>
      <c r="B194" s="42" t="s">
        <v>333</v>
      </c>
    </row>
    <row r="195" spans="1:8" x14ac:dyDescent="0.25">
      <c r="A195" s="42" t="s">
        <v>334</v>
      </c>
      <c r="B195" s="42" t="s">
        <v>335</v>
      </c>
    </row>
    <row r="196" spans="1:8" x14ac:dyDescent="0.25">
      <c r="A196" s="42" t="s">
        <v>336</v>
      </c>
      <c r="B196" s="42" t="s">
        <v>337</v>
      </c>
    </row>
    <row r="197" spans="1:8" x14ac:dyDescent="0.25">
      <c r="A197" s="42" t="s">
        <v>338</v>
      </c>
      <c r="B197" s="42" t="s">
        <v>339</v>
      </c>
    </row>
    <row r="198" spans="1:8" x14ac:dyDescent="0.25">
      <c r="A198" s="43" t="s">
        <v>340</v>
      </c>
      <c r="B198" s="43" t="s">
        <v>341</v>
      </c>
      <c r="C198" s="76">
        <v>-679426.49</v>
      </c>
      <c r="D198" s="76">
        <v>-2005497</v>
      </c>
      <c r="E198" s="76">
        <v>66.12</v>
      </c>
      <c r="F198" s="76">
        <v>33.880000000000003</v>
      </c>
      <c r="G198" s="76">
        <v>-1326070.51</v>
      </c>
      <c r="H198" s="73">
        <f>SUM(H139:H197)</f>
        <v>-1917458.9699999997</v>
      </c>
    </row>
    <row r="199" spans="1:8" x14ac:dyDescent="0.25">
      <c r="A199" s="42" t="s">
        <v>12</v>
      </c>
      <c r="B199" s="42" t="s">
        <v>12</v>
      </c>
    </row>
    <row r="200" spans="1:8" x14ac:dyDescent="0.25">
      <c r="A200" s="43" t="s">
        <v>342</v>
      </c>
      <c r="B200" s="43" t="s">
        <v>343</v>
      </c>
      <c r="C200" s="76"/>
      <c r="D200" s="76"/>
      <c r="E200" s="76"/>
      <c r="F200" s="76"/>
      <c r="G200" s="76"/>
      <c r="H200" s="73"/>
    </row>
    <row r="201" spans="1:8" x14ac:dyDescent="0.25">
      <c r="A201" s="42" t="s">
        <v>344</v>
      </c>
      <c r="B201" s="42" t="s">
        <v>345</v>
      </c>
    </row>
    <row r="202" spans="1:8" x14ac:dyDescent="0.25">
      <c r="A202" s="42" t="s">
        <v>346</v>
      </c>
      <c r="B202" s="42" t="s">
        <v>347</v>
      </c>
    </row>
    <row r="203" spans="1:8" x14ac:dyDescent="0.25">
      <c r="A203" s="42" t="s">
        <v>348</v>
      </c>
      <c r="B203" s="42" t="s">
        <v>349</v>
      </c>
    </row>
    <row r="204" spans="1:8" x14ac:dyDescent="0.25">
      <c r="A204" s="42" t="s">
        <v>350</v>
      </c>
      <c r="B204" s="42" t="s">
        <v>351</v>
      </c>
    </row>
    <row r="205" spans="1:8" x14ac:dyDescent="0.25">
      <c r="A205" s="42" t="s">
        <v>352</v>
      </c>
      <c r="B205" s="42" t="s">
        <v>353</v>
      </c>
    </row>
    <row r="206" spans="1:8" x14ac:dyDescent="0.25">
      <c r="A206" s="42" t="s">
        <v>354</v>
      </c>
      <c r="B206" s="42" t="s">
        <v>355</v>
      </c>
    </row>
    <row r="207" spans="1:8" x14ac:dyDescent="0.25">
      <c r="A207" s="42" t="s">
        <v>356</v>
      </c>
      <c r="B207" s="42" t="s">
        <v>357</v>
      </c>
    </row>
    <row r="208" spans="1:8" x14ac:dyDescent="0.25">
      <c r="A208" s="42" t="s">
        <v>358</v>
      </c>
      <c r="B208" s="42" t="s">
        <v>359</v>
      </c>
    </row>
    <row r="209" spans="1:8" x14ac:dyDescent="0.25">
      <c r="A209" s="43" t="s">
        <v>360</v>
      </c>
      <c r="B209" s="43" t="s">
        <v>361</v>
      </c>
      <c r="C209" s="76"/>
      <c r="D209" s="76"/>
      <c r="E209" s="76"/>
      <c r="F209" s="76"/>
      <c r="G209" s="76"/>
      <c r="H209" s="73">
        <f>SUM(H201:H208)</f>
        <v>0</v>
      </c>
    </row>
    <row r="210" spans="1:8" x14ac:dyDescent="0.25">
      <c r="A210" s="42" t="s">
        <v>12</v>
      </c>
      <c r="B210" s="42" t="s">
        <v>12</v>
      </c>
    </row>
    <row r="211" spans="1:8" x14ac:dyDescent="0.25">
      <c r="A211" s="43" t="s">
        <v>362</v>
      </c>
      <c r="B211" s="43" t="s">
        <v>40</v>
      </c>
      <c r="C211" s="76"/>
      <c r="D211" s="76"/>
      <c r="E211" s="76"/>
      <c r="F211" s="76"/>
      <c r="G211" s="76"/>
      <c r="H211" s="73"/>
    </row>
    <row r="212" spans="1:8" x14ac:dyDescent="0.25">
      <c r="A212" s="42" t="s">
        <v>363</v>
      </c>
      <c r="B212" s="42" t="s">
        <v>364</v>
      </c>
    </row>
    <row r="213" spans="1:8" x14ac:dyDescent="0.25">
      <c r="A213" s="42" t="s">
        <v>365</v>
      </c>
      <c r="B213" s="42" t="s">
        <v>366</v>
      </c>
    </row>
    <row r="214" spans="1:8" x14ac:dyDescent="0.25">
      <c r="A214" s="42" t="s">
        <v>367</v>
      </c>
      <c r="B214" s="42" t="s">
        <v>368</v>
      </c>
    </row>
    <row r="215" spans="1:8" x14ac:dyDescent="0.25">
      <c r="A215" s="42" t="s">
        <v>369</v>
      </c>
      <c r="B215" s="42" t="s">
        <v>370</v>
      </c>
      <c r="C215" s="75">
        <v>-973.49</v>
      </c>
      <c r="G215" s="75">
        <v>973.49</v>
      </c>
    </row>
    <row r="216" spans="1:8" x14ac:dyDescent="0.25">
      <c r="A216" s="42" t="s">
        <v>371</v>
      </c>
      <c r="B216" s="42" t="s">
        <v>372</v>
      </c>
    </row>
    <row r="217" spans="1:8" x14ac:dyDescent="0.25">
      <c r="A217" s="42" t="s">
        <v>373</v>
      </c>
      <c r="B217" s="42" t="s">
        <v>374</v>
      </c>
    </row>
    <row r="218" spans="1:8" x14ac:dyDescent="0.25">
      <c r="A218" s="42" t="s">
        <v>375</v>
      </c>
      <c r="B218" s="42" t="s">
        <v>376</v>
      </c>
    </row>
    <row r="219" spans="1:8" x14ac:dyDescent="0.25">
      <c r="A219" s="43" t="s">
        <v>377</v>
      </c>
      <c r="B219" s="43" t="s">
        <v>378</v>
      </c>
      <c r="C219" s="76">
        <v>-973.49</v>
      </c>
      <c r="D219" s="76"/>
      <c r="E219" s="76"/>
      <c r="F219" s="76"/>
      <c r="G219" s="76">
        <v>973.49</v>
      </c>
      <c r="H219" s="73">
        <f>SUM(H212:H218)</f>
        <v>0</v>
      </c>
    </row>
    <row r="220" spans="1:8" x14ac:dyDescent="0.25">
      <c r="A220" s="42" t="s">
        <v>12</v>
      </c>
      <c r="B220" s="42" t="s">
        <v>12</v>
      </c>
    </row>
    <row r="221" spans="1:8" x14ac:dyDescent="0.25">
      <c r="A221" s="43" t="s">
        <v>379</v>
      </c>
      <c r="B221" s="43" t="s">
        <v>380</v>
      </c>
      <c r="C221" s="76"/>
      <c r="D221" s="76"/>
      <c r="E221" s="76"/>
      <c r="F221" s="76"/>
      <c r="G221" s="76"/>
      <c r="H221" s="73"/>
    </row>
    <row r="222" spans="1:8" x14ac:dyDescent="0.25">
      <c r="A222" s="42" t="s">
        <v>381</v>
      </c>
      <c r="B222" s="42" t="s">
        <v>380</v>
      </c>
    </row>
    <row r="223" spans="1:8" x14ac:dyDescent="0.25">
      <c r="A223" s="43" t="s">
        <v>382</v>
      </c>
      <c r="B223" s="43" t="s">
        <v>383</v>
      </c>
      <c r="C223" s="76"/>
      <c r="D223" s="76"/>
      <c r="E223" s="76"/>
      <c r="F223" s="76"/>
      <c r="G223" s="76"/>
      <c r="H223" s="73">
        <f>H222</f>
        <v>0</v>
      </c>
    </row>
    <row r="224" spans="1:8" x14ac:dyDescent="0.25">
      <c r="A224" s="42" t="s">
        <v>12</v>
      </c>
      <c r="B224" s="42" t="s">
        <v>12</v>
      </c>
    </row>
    <row r="225" spans="1:8" x14ac:dyDescent="0.25">
      <c r="A225" s="43" t="s">
        <v>384</v>
      </c>
      <c r="B225" s="43" t="s">
        <v>385</v>
      </c>
      <c r="C225" s="76"/>
      <c r="D225" s="76"/>
      <c r="E225" s="76"/>
      <c r="F225" s="76"/>
      <c r="G225" s="76"/>
      <c r="H225" s="73"/>
    </row>
    <row r="226" spans="1:8" x14ac:dyDescent="0.25">
      <c r="A226" s="42" t="s">
        <v>386</v>
      </c>
      <c r="B226" s="42" t="s">
        <v>385</v>
      </c>
    </row>
    <row r="227" spans="1:8" x14ac:dyDescent="0.25">
      <c r="A227" s="43" t="s">
        <v>387</v>
      </c>
      <c r="B227" s="43" t="s">
        <v>388</v>
      </c>
      <c r="C227" s="76"/>
      <c r="D227" s="76"/>
      <c r="E227" s="76"/>
      <c r="F227" s="76"/>
      <c r="G227" s="76"/>
      <c r="H227" s="73">
        <f>H226</f>
        <v>0</v>
      </c>
    </row>
    <row r="228" spans="1:8" x14ac:dyDescent="0.25">
      <c r="A228" s="42" t="s">
        <v>12</v>
      </c>
      <c r="B228" s="42" t="s">
        <v>12</v>
      </c>
    </row>
    <row r="229" spans="1:8" ht="15.75" thickBot="1" x14ac:dyDescent="0.3">
      <c r="A229" s="44" t="s">
        <v>389</v>
      </c>
      <c r="B229" s="44" t="s">
        <v>390</v>
      </c>
      <c r="C229" s="77">
        <v>1171714.77</v>
      </c>
      <c r="D229" s="77">
        <v>-45646.400000000001</v>
      </c>
      <c r="E229" s="77">
        <v>2666.94</v>
      </c>
      <c r="F229" s="77">
        <v>-2566.94</v>
      </c>
      <c r="G229" s="77">
        <v>-1217361.17</v>
      </c>
      <c r="H229" s="74">
        <f>H219+H209+H223+H227+H198+H136+H127</f>
        <v>-279621.75999999978</v>
      </c>
    </row>
    <row r="230" spans="1:8" ht="15.75" thickTop="1" x14ac:dyDescent="0.25">
      <c r="A230" s="42" t="s">
        <v>12</v>
      </c>
      <c r="B230" s="42" t="s">
        <v>12</v>
      </c>
    </row>
    <row r="231" spans="1:8" x14ac:dyDescent="0.25">
      <c r="A231" s="43" t="s">
        <v>391</v>
      </c>
      <c r="B231" s="43" t="s">
        <v>392</v>
      </c>
      <c r="C231" s="76"/>
      <c r="D231" s="76"/>
      <c r="E231" s="76"/>
      <c r="F231" s="76"/>
      <c r="G231" s="76"/>
      <c r="H231" s="73"/>
    </row>
    <row r="232" spans="1:8" x14ac:dyDescent="0.25">
      <c r="A232" s="42" t="s">
        <v>393</v>
      </c>
      <c r="B232" s="42" t="s">
        <v>394</v>
      </c>
    </row>
    <row r="233" spans="1:8" x14ac:dyDescent="0.25">
      <c r="A233" s="42" t="s">
        <v>395</v>
      </c>
      <c r="B233" s="42" t="s">
        <v>396</v>
      </c>
    </row>
    <row r="234" spans="1:8" x14ac:dyDescent="0.25">
      <c r="A234" s="42" t="s">
        <v>397</v>
      </c>
      <c r="B234" s="42" t="s">
        <v>398</v>
      </c>
    </row>
    <row r="235" spans="1:8" x14ac:dyDescent="0.25">
      <c r="A235" s="43" t="s">
        <v>399</v>
      </c>
      <c r="B235" s="43" t="s">
        <v>400</v>
      </c>
      <c r="C235" s="76"/>
      <c r="D235" s="76"/>
      <c r="E235" s="76"/>
      <c r="F235" s="76"/>
      <c r="G235" s="76"/>
      <c r="H235" s="73">
        <f>SUM(H232:H234)</f>
        <v>0</v>
      </c>
    </row>
    <row r="236" spans="1:8" x14ac:dyDescent="0.25">
      <c r="A236" s="42" t="s">
        <v>12</v>
      </c>
      <c r="B236" s="42" t="s">
        <v>12</v>
      </c>
    </row>
    <row r="237" spans="1:8" ht="15.75" thickBot="1" x14ac:dyDescent="0.3">
      <c r="A237" s="44" t="s">
        <v>12</v>
      </c>
      <c r="B237" s="44" t="s">
        <v>46</v>
      </c>
      <c r="C237" s="77">
        <v>1171714.77</v>
      </c>
      <c r="D237" s="77">
        <v>-45646.400000000001</v>
      </c>
      <c r="E237" s="77">
        <v>2666.94</v>
      </c>
      <c r="F237" s="77">
        <v>-2566.94</v>
      </c>
      <c r="G237" s="77">
        <v>-1217361.17</v>
      </c>
      <c r="H237" s="74">
        <f>H229+H235</f>
        <v>-279621.75999999978</v>
      </c>
    </row>
    <row r="238" spans="1:8" ht="15.75" thickTop="1" x14ac:dyDescent="0.25">
      <c r="A238" s="42" t="s">
        <v>12</v>
      </c>
      <c r="B238" s="42" t="s">
        <v>12</v>
      </c>
    </row>
    <row r="239" spans="1:8" x14ac:dyDescent="0.25">
      <c r="A239" s="42" t="s">
        <v>401</v>
      </c>
      <c r="B239" s="42" t="s">
        <v>402</v>
      </c>
    </row>
    <row r="240" spans="1:8" x14ac:dyDescent="0.25">
      <c r="A240" s="42" t="s">
        <v>403</v>
      </c>
      <c r="B240" s="42" t="s">
        <v>404</v>
      </c>
    </row>
    <row r="241" spans="1:8" x14ac:dyDescent="0.25">
      <c r="A241" s="42" t="s">
        <v>405</v>
      </c>
      <c r="B241" s="42" t="s">
        <v>406</v>
      </c>
      <c r="C241" s="75">
        <v>-10768.2</v>
      </c>
      <c r="D241" s="75">
        <v>-21536.44</v>
      </c>
      <c r="E241" s="75">
        <v>50</v>
      </c>
      <c r="F241" s="75">
        <v>50</v>
      </c>
      <c r="G241" s="75">
        <v>-10768.24</v>
      </c>
      <c r="H241" s="56">
        <v>-19547.330000000002</v>
      </c>
    </row>
    <row r="242" spans="1:8" x14ac:dyDescent="0.25">
      <c r="A242" s="42" t="s">
        <v>407</v>
      </c>
      <c r="B242" s="42" t="s">
        <v>408</v>
      </c>
    </row>
    <row r="243" spans="1:8" x14ac:dyDescent="0.25">
      <c r="A243" s="43" t="s">
        <v>409</v>
      </c>
      <c r="B243" s="43" t="s">
        <v>410</v>
      </c>
      <c r="C243" s="76">
        <v>-10768.2</v>
      </c>
      <c r="D243" s="76">
        <v>-21536.44</v>
      </c>
      <c r="E243" s="76">
        <v>50</v>
      </c>
      <c r="F243" s="76">
        <v>50</v>
      </c>
      <c r="G243" s="76">
        <v>-10768.24</v>
      </c>
      <c r="H243" s="73">
        <f>SUM(H239:H242)</f>
        <v>-19547.330000000002</v>
      </c>
    </row>
    <row r="244" spans="1:8" x14ac:dyDescent="0.25">
      <c r="A244" s="42" t="s">
        <v>12</v>
      </c>
      <c r="B244" s="42" t="s">
        <v>12</v>
      </c>
    </row>
    <row r="245" spans="1:8" ht="15.75" thickBot="1" x14ac:dyDescent="0.3">
      <c r="A245" s="44" t="s">
        <v>411</v>
      </c>
      <c r="B245" s="44" t="s">
        <v>49</v>
      </c>
      <c r="C245" s="77">
        <v>1160946.57</v>
      </c>
      <c r="D245" s="77">
        <v>-67182.84</v>
      </c>
      <c r="E245" s="77">
        <v>1828.04</v>
      </c>
      <c r="F245" s="77">
        <v>-1728.04</v>
      </c>
      <c r="G245" s="77">
        <v>-1228129.4099999999</v>
      </c>
      <c r="H245" s="74">
        <f>+H237+H243</f>
        <v>-299169.08999999979</v>
      </c>
    </row>
    <row r="246" spans="1:8" ht="15.7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46"/>
  <sheetViews>
    <sheetView topLeftCell="A17" workbookViewId="0">
      <selection activeCell="J62" sqref="J62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3" width="12.85546875" style="75" bestFit="1" customWidth="1"/>
    <col min="4" max="4" width="13.28515625" style="75" bestFit="1" customWidth="1"/>
    <col min="5" max="5" width="10.28515625" style="75" bestFit="1" customWidth="1"/>
    <col min="6" max="6" width="19.42578125" style="75" bestFit="1" customWidth="1"/>
    <col min="7" max="7" width="12.85546875" style="75" bestFit="1" customWidth="1"/>
    <col min="8" max="8" width="13.28515625" style="56" bestFit="1" customWidth="1"/>
  </cols>
  <sheetData>
    <row r="1" spans="1:8" x14ac:dyDescent="0.25">
      <c r="A1" s="36" t="s">
        <v>0</v>
      </c>
      <c r="B1" s="35"/>
    </row>
    <row r="2" spans="1:8" x14ac:dyDescent="0.25">
      <c r="A2" s="37" t="s">
        <v>1</v>
      </c>
      <c r="B2" s="37" t="s">
        <v>2</v>
      </c>
    </row>
    <row r="3" spans="1:8" x14ac:dyDescent="0.25">
      <c r="A3" s="37" t="s">
        <v>3</v>
      </c>
      <c r="B3" s="37" t="s">
        <v>4</v>
      </c>
    </row>
    <row r="4" spans="1:8" x14ac:dyDescent="0.25">
      <c r="A4" s="37" t="s">
        <v>412</v>
      </c>
      <c r="B4" s="37" t="s">
        <v>418</v>
      </c>
    </row>
    <row r="6" spans="1:8" x14ac:dyDescent="0.25">
      <c r="A6" s="37" t="s">
        <v>5</v>
      </c>
      <c r="B6" s="37" t="s">
        <v>6</v>
      </c>
    </row>
    <row r="8" spans="1:8" x14ac:dyDescent="0.25">
      <c r="A8" s="35"/>
      <c r="B8" s="35"/>
      <c r="C8" s="75" t="s">
        <v>7</v>
      </c>
      <c r="D8" s="75" t="s">
        <v>8</v>
      </c>
      <c r="E8" s="75" t="s">
        <v>9</v>
      </c>
      <c r="F8" s="75" t="s">
        <v>10</v>
      </c>
      <c r="G8" s="75" t="s">
        <v>11</v>
      </c>
      <c r="H8" s="56" t="s">
        <v>428</v>
      </c>
    </row>
    <row r="9" spans="1:8" x14ac:dyDescent="0.25">
      <c r="A9" s="38" t="s">
        <v>12</v>
      </c>
      <c r="B9" s="38" t="s">
        <v>13</v>
      </c>
      <c r="C9" s="76"/>
      <c r="D9" s="76"/>
      <c r="E9" s="76"/>
      <c r="F9" s="76"/>
      <c r="G9" s="76"/>
      <c r="H9" s="73"/>
    </row>
    <row r="10" spans="1:8" x14ac:dyDescent="0.25">
      <c r="A10" s="37" t="s">
        <v>12</v>
      </c>
      <c r="B10" s="37" t="s">
        <v>12</v>
      </c>
    </row>
    <row r="11" spans="1:8" x14ac:dyDescent="0.25">
      <c r="A11" s="37" t="s">
        <v>14</v>
      </c>
      <c r="B11" s="37" t="s">
        <v>15</v>
      </c>
      <c r="C11" s="75">
        <v>5118841.3499999996</v>
      </c>
      <c r="D11" s="75">
        <v>11245375.560000001</v>
      </c>
      <c r="E11" s="75">
        <v>54.48</v>
      </c>
      <c r="F11" s="75">
        <v>45.52</v>
      </c>
      <c r="G11" s="75">
        <v>6126534.21</v>
      </c>
      <c r="H11" s="56">
        <f>H46</f>
        <v>9948904.7719312049</v>
      </c>
    </row>
    <row r="12" spans="1:8" x14ac:dyDescent="0.25">
      <c r="A12" s="37" t="s">
        <v>16</v>
      </c>
      <c r="B12" s="37" t="s">
        <v>17</v>
      </c>
      <c r="C12" s="75">
        <v>59779.95</v>
      </c>
      <c r="D12" s="75">
        <v>580000</v>
      </c>
      <c r="E12" s="75">
        <v>89.69</v>
      </c>
      <c r="F12" s="75">
        <v>10.31</v>
      </c>
      <c r="G12" s="75">
        <v>520220.05</v>
      </c>
      <c r="H12" s="56">
        <f>H59</f>
        <v>768350.2</v>
      </c>
    </row>
    <row r="13" spans="1:8" x14ac:dyDescent="0.25">
      <c r="A13" s="37" t="s">
        <v>18</v>
      </c>
      <c r="B13" s="37" t="s">
        <v>19</v>
      </c>
      <c r="H13" s="56">
        <f>H63</f>
        <v>0</v>
      </c>
    </row>
    <row r="14" spans="1:8" x14ac:dyDescent="0.25">
      <c r="A14" s="38" t="s">
        <v>20</v>
      </c>
      <c r="B14" s="38" t="s">
        <v>21</v>
      </c>
      <c r="C14" s="76">
        <v>5178621.3</v>
      </c>
      <c r="D14" s="76">
        <v>11825375.560000001</v>
      </c>
      <c r="E14" s="76">
        <v>56.21</v>
      </c>
      <c r="F14" s="76">
        <v>43.79</v>
      </c>
      <c r="G14" s="76">
        <v>6646754.2599999998</v>
      </c>
      <c r="H14" s="73">
        <f>SUM(H11:H13)</f>
        <v>10717254.971931204</v>
      </c>
    </row>
    <row r="15" spans="1:8" x14ac:dyDescent="0.25">
      <c r="A15" s="37" t="s">
        <v>12</v>
      </c>
      <c r="B15" s="37" t="s">
        <v>12</v>
      </c>
    </row>
    <row r="16" spans="1:8" x14ac:dyDescent="0.25">
      <c r="A16" s="38" t="s">
        <v>12</v>
      </c>
      <c r="B16" s="38" t="s">
        <v>22</v>
      </c>
      <c r="C16" s="76"/>
      <c r="D16" s="76"/>
      <c r="E16" s="76"/>
      <c r="F16" s="76"/>
      <c r="G16" s="76"/>
      <c r="H16" s="73"/>
    </row>
    <row r="17" spans="1:8" x14ac:dyDescent="0.25">
      <c r="A17" s="37" t="s">
        <v>23</v>
      </c>
      <c r="B17" s="37" t="s">
        <v>24</v>
      </c>
    </row>
    <row r="18" spans="1:8" x14ac:dyDescent="0.25">
      <c r="A18" s="37" t="s">
        <v>25</v>
      </c>
      <c r="B18" s="37" t="s">
        <v>26</v>
      </c>
      <c r="C18" s="75">
        <v>-168399.45</v>
      </c>
      <c r="D18" s="75">
        <v>-36000</v>
      </c>
      <c r="E18" s="75">
        <v>-367.78</v>
      </c>
      <c r="F18" s="75">
        <v>467.78</v>
      </c>
      <c r="G18" s="75">
        <v>132399.45000000001</v>
      </c>
      <c r="H18" s="56">
        <f>H77</f>
        <v>-168399.45</v>
      </c>
    </row>
    <row r="19" spans="1:8" x14ac:dyDescent="0.25">
      <c r="A19" s="37" t="s">
        <v>27</v>
      </c>
      <c r="B19" s="37" t="s">
        <v>28</v>
      </c>
    </row>
    <row r="20" spans="1:8" x14ac:dyDescent="0.25">
      <c r="A20" s="37" t="s">
        <v>12</v>
      </c>
      <c r="B20" s="37" t="s">
        <v>12</v>
      </c>
    </row>
    <row r="21" spans="1:8" x14ac:dyDescent="0.25">
      <c r="A21" s="37" t="s">
        <v>29</v>
      </c>
      <c r="B21" s="37" t="s">
        <v>30</v>
      </c>
      <c r="C21" s="75">
        <v>-3785763.66</v>
      </c>
      <c r="D21" s="75">
        <v>-7829195.2699999996</v>
      </c>
      <c r="E21" s="75">
        <v>51.65</v>
      </c>
      <c r="F21" s="75">
        <v>48.35</v>
      </c>
      <c r="G21" s="75">
        <v>-4043431.61</v>
      </c>
      <c r="H21" s="56">
        <f>H123</f>
        <v>-6770322.7699999996</v>
      </c>
    </row>
    <row r="22" spans="1:8" x14ac:dyDescent="0.25">
      <c r="A22" s="38" t="s">
        <v>31</v>
      </c>
      <c r="B22" s="38" t="s">
        <v>32</v>
      </c>
      <c r="C22" s="76">
        <v>-3954163.11</v>
      </c>
      <c r="D22" s="76">
        <v>-7865195.2699999996</v>
      </c>
      <c r="E22" s="76">
        <v>49.73</v>
      </c>
      <c r="F22" s="76">
        <v>50.27</v>
      </c>
      <c r="G22" s="76">
        <v>-3911032.16</v>
      </c>
      <c r="H22" s="73">
        <f>H21</f>
        <v>-6770322.7699999996</v>
      </c>
    </row>
    <row r="23" spans="1:8" x14ac:dyDescent="0.25">
      <c r="A23" s="37" t="s">
        <v>12</v>
      </c>
      <c r="B23" s="37" t="s">
        <v>12</v>
      </c>
    </row>
    <row r="24" spans="1:8" x14ac:dyDescent="0.25">
      <c r="A24" s="37" t="s">
        <v>33</v>
      </c>
      <c r="B24" s="37" t="s">
        <v>34</v>
      </c>
      <c r="C24" s="75">
        <v>3850</v>
      </c>
      <c r="D24" s="75">
        <v>266100</v>
      </c>
      <c r="E24" s="75">
        <v>98.55</v>
      </c>
      <c r="F24" s="75">
        <v>1.45</v>
      </c>
      <c r="G24" s="75">
        <v>262250</v>
      </c>
      <c r="H24" s="56">
        <f>H136</f>
        <v>116100</v>
      </c>
    </row>
    <row r="25" spans="1:8" x14ac:dyDescent="0.25">
      <c r="A25" s="37" t="s">
        <v>35</v>
      </c>
      <c r="B25" s="37" t="s">
        <v>36</v>
      </c>
      <c r="C25" s="75">
        <v>-1279994.8799999999</v>
      </c>
      <c r="D25" s="75">
        <v>-3693370.29</v>
      </c>
      <c r="E25" s="75">
        <v>65.34</v>
      </c>
      <c r="F25" s="75">
        <v>34.659999999999997</v>
      </c>
      <c r="G25" s="75">
        <v>-2413375.41</v>
      </c>
      <c r="H25" s="56">
        <f>H198</f>
        <v>-3693698.4315999998</v>
      </c>
    </row>
    <row r="26" spans="1:8" x14ac:dyDescent="0.25">
      <c r="A26" s="37" t="s">
        <v>37</v>
      </c>
      <c r="B26" s="37" t="s">
        <v>38</v>
      </c>
      <c r="D26" s="75">
        <v>42000</v>
      </c>
      <c r="E26" s="75">
        <v>100</v>
      </c>
      <c r="G26" s="75">
        <v>42000</v>
      </c>
      <c r="H26" s="56">
        <f>H209</f>
        <v>1000</v>
      </c>
    </row>
    <row r="27" spans="1:8" x14ac:dyDescent="0.25">
      <c r="A27" s="37" t="s">
        <v>39</v>
      </c>
      <c r="B27" s="37" t="s">
        <v>40</v>
      </c>
      <c r="C27" s="75">
        <v>-1934.01</v>
      </c>
      <c r="G27" s="75">
        <v>1934.01</v>
      </c>
      <c r="H27" s="56">
        <f>H219</f>
        <v>-1934.01</v>
      </c>
    </row>
    <row r="28" spans="1:8" x14ac:dyDescent="0.25">
      <c r="A28" s="37" t="s">
        <v>41</v>
      </c>
      <c r="B28" s="37" t="s">
        <v>42</v>
      </c>
      <c r="H28" s="56">
        <f>H223</f>
        <v>0</v>
      </c>
    </row>
    <row r="29" spans="1:8" x14ac:dyDescent="0.25">
      <c r="A29" s="37" t="s">
        <v>43</v>
      </c>
      <c r="B29" s="37" t="s">
        <v>44</v>
      </c>
      <c r="H29" s="56">
        <f>H227</f>
        <v>0</v>
      </c>
    </row>
    <row r="30" spans="1:8" x14ac:dyDescent="0.25">
      <c r="A30" s="37" t="s">
        <v>12</v>
      </c>
      <c r="B30" s="37" t="s">
        <v>12</v>
      </c>
    </row>
    <row r="31" spans="1:8" ht="15.75" thickBot="1" x14ac:dyDescent="0.3">
      <c r="A31" s="39" t="s">
        <v>45</v>
      </c>
      <c r="B31" s="39" t="s">
        <v>46</v>
      </c>
      <c r="C31" s="77">
        <v>-53620.7</v>
      </c>
      <c r="D31" s="77">
        <v>574910</v>
      </c>
      <c r="E31" s="77">
        <v>109.33</v>
      </c>
      <c r="F31" s="77">
        <v>-9.33</v>
      </c>
      <c r="G31" s="77">
        <v>628530.69999999995</v>
      </c>
      <c r="H31" s="74">
        <f>H14+H18+H22+H24+H25+H26+H27</f>
        <v>200000.3103312056</v>
      </c>
    </row>
    <row r="32" spans="1:8" ht="15.75" thickTop="1" x14ac:dyDescent="0.25">
      <c r="A32" s="37" t="s">
        <v>12</v>
      </c>
      <c r="B32" s="37" t="s">
        <v>12</v>
      </c>
    </row>
    <row r="33" spans="1:8" x14ac:dyDescent="0.25">
      <c r="A33" s="37" t="s">
        <v>47</v>
      </c>
      <c r="B33" s="37" t="s">
        <v>48</v>
      </c>
      <c r="C33" s="75">
        <v>-206904.92</v>
      </c>
      <c r="D33" s="75">
        <v>-502945</v>
      </c>
      <c r="E33" s="75">
        <v>58.86</v>
      </c>
      <c r="F33" s="75">
        <v>41.14</v>
      </c>
      <c r="G33" s="75">
        <v>-296040.08</v>
      </c>
      <c r="H33" s="56">
        <f>H243</f>
        <v>-380594.32</v>
      </c>
    </row>
    <row r="34" spans="1:8" x14ac:dyDescent="0.25">
      <c r="A34" s="37" t="s">
        <v>12</v>
      </c>
      <c r="B34" s="37" t="s">
        <v>12</v>
      </c>
    </row>
    <row r="35" spans="1:8" ht="15.75" thickBot="1" x14ac:dyDescent="0.3">
      <c r="A35" s="39" t="s">
        <v>12</v>
      </c>
      <c r="B35" s="39" t="s">
        <v>49</v>
      </c>
      <c r="C35" s="77">
        <v>-260525.62</v>
      </c>
      <c r="D35" s="77">
        <v>71965</v>
      </c>
      <c r="E35" s="77">
        <v>462.02</v>
      </c>
      <c r="F35" s="77">
        <v>-362.02</v>
      </c>
      <c r="G35" s="77">
        <v>332490.62</v>
      </c>
      <c r="H35" s="74">
        <f>H31+H33</f>
        <v>-180594.0096687944</v>
      </c>
    </row>
    <row r="36" spans="1:8" ht="15.75" thickTop="1" x14ac:dyDescent="0.25">
      <c r="A36" s="37" t="s">
        <v>12</v>
      </c>
      <c r="B36" s="37" t="s">
        <v>12</v>
      </c>
    </row>
    <row r="37" spans="1:8" x14ac:dyDescent="0.25">
      <c r="A37" s="38" t="s">
        <v>12</v>
      </c>
      <c r="B37" s="38" t="s">
        <v>50</v>
      </c>
      <c r="C37" s="76"/>
      <c r="D37" s="76"/>
      <c r="E37" s="76"/>
      <c r="F37" s="76"/>
      <c r="G37" s="76"/>
      <c r="H37" s="73"/>
    </row>
    <row r="38" spans="1:8" x14ac:dyDescent="0.25">
      <c r="A38" s="37" t="s">
        <v>12</v>
      </c>
      <c r="B38" s="37" t="s">
        <v>12</v>
      </c>
    </row>
    <row r="39" spans="1:8" x14ac:dyDescent="0.25">
      <c r="A39" s="38" t="s">
        <v>51</v>
      </c>
      <c r="B39" s="38" t="s">
        <v>52</v>
      </c>
      <c r="C39" s="76"/>
      <c r="D39" s="76"/>
      <c r="E39" s="76"/>
      <c r="F39" s="76"/>
      <c r="G39" s="76"/>
      <c r="H39" s="73"/>
    </row>
    <row r="40" spans="1:8" x14ac:dyDescent="0.25">
      <c r="A40" s="37" t="s">
        <v>53</v>
      </c>
      <c r="B40" s="37" t="s">
        <v>54</v>
      </c>
      <c r="C40" s="75">
        <v>4041122.3</v>
      </c>
      <c r="D40" s="75">
        <v>8966527.3800000008</v>
      </c>
      <c r="E40" s="75">
        <v>54.93</v>
      </c>
      <c r="F40" s="75">
        <v>45.07</v>
      </c>
      <c r="G40" s="75">
        <v>4925405.08</v>
      </c>
      <c r="H40" s="56">
        <f>Taksameter!C9</f>
        <v>7833075.8423545929</v>
      </c>
    </row>
    <row r="41" spans="1:8" x14ac:dyDescent="0.25">
      <c r="A41" s="37" t="s">
        <v>55</v>
      </c>
      <c r="B41" s="37" t="s">
        <v>56</v>
      </c>
      <c r="C41" s="75">
        <v>8483.33</v>
      </c>
      <c r="D41" s="75">
        <v>509120</v>
      </c>
      <c r="E41" s="75">
        <v>98.33</v>
      </c>
      <c r="F41" s="75">
        <v>1.67</v>
      </c>
      <c r="G41" s="75">
        <v>500636.67</v>
      </c>
      <c r="H41" s="56">
        <f>Taksameter!C23</f>
        <v>182251.20957661141</v>
      </c>
    </row>
    <row r="42" spans="1:8" x14ac:dyDescent="0.25">
      <c r="A42" s="37" t="s">
        <v>57</v>
      </c>
      <c r="B42" s="37" t="s">
        <v>58</v>
      </c>
      <c r="C42" s="75">
        <v>15024.57</v>
      </c>
      <c r="G42" s="75">
        <v>-15024.57</v>
      </c>
    </row>
    <row r="43" spans="1:8" x14ac:dyDescent="0.25">
      <c r="A43" s="37" t="s">
        <v>59</v>
      </c>
      <c r="B43" s="37" t="s">
        <v>60</v>
      </c>
      <c r="C43" s="75">
        <v>1343.43</v>
      </c>
      <c r="D43" s="75">
        <v>8308.18</v>
      </c>
      <c r="E43" s="75">
        <v>83.83</v>
      </c>
      <c r="F43" s="75">
        <v>16.170000000000002</v>
      </c>
      <c r="G43" s="75">
        <v>6964.75</v>
      </c>
    </row>
    <row r="44" spans="1:8" x14ac:dyDescent="0.25">
      <c r="A44" s="37" t="s">
        <v>61</v>
      </c>
      <c r="B44" s="37" t="s">
        <v>62</v>
      </c>
      <c r="C44" s="75">
        <v>880710</v>
      </c>
      <c r="D44" s="75">
        <v>1761420</v>
      </c>
      <c r="E44" s="75">
        <v>50</v>
      </c>
      <c r="F44" s="75">
        <v>50</v>
      </c>
      <c r="G44" s="75">
        <v>880710</v>
      </c>
      <c r="H44" s="56">
        <v>1761420</v>
      </c>
    </row>
    <row r="45" spans="1:8" x14ac:dyDescent="0.25">
      <c r="A45" s="37" t="s">
        <v>63</v>
      </c>
      <c r="B45" s="37" t="s">
        <v>64</v>
      </c>
      <c r="C45" s="75">
        <v>172157.72</v>
      </c>
      <c r="G45" s="75">
        <v>-172157.72</v>
      </c>
      <c r="H45" s="56">
        <f>C45+('[2]Øvrige tilskud'!F17*[2]Taksameter!C16)</f>
        <v>172157.72</v>
      </c>
    </row>
    <row r="46" spans="1:8" x14ac:dyDescent="0.25">
      <c r="A46" s="38" t="s">
        <v>65</v>
      </c>
      <c r="B46" s="38" t="s">
        <v>66</v>
      </c>
      <c r="C46" s="76">
        <v>5118841.3499999996</v>
      </c>
      <c r="D46" s="76">
        <v>11245375.560000001</v>
      </c>
      <c r="E46" s="76">
        <v>54.48</v>
      </c>
      <c r="F46" s="76">
        <v>45.52</v>
      </c>
      <c r="G46" s="76">
        <v>6126534.21</v>
      </c>
      <c r="H46" s="73">
        <f>SUM(H40:H45)</f>
        <v>9948904.7719312049</v>
      </c>
    </row>
    <row r="47" spans="1:8" x14ac:dyDescent="0.25">
      <c r="A47" s="37" t="s">
        <v>12</v>
      </c>
      <c r="B47" s="37" t="s">
        <v>12</v>
      </c>
    </row>
    <row r="48" spans="1:8" x14ac:dyDescent="0.25">
      <c r="A48" s="38" t="s">
        <v>67</v>
      </c>
      <c r="B48" s="38" t="s">
        <v>68</v>
      </c>
      <c r="C48" s="76"/>
      <c r="D48" s="76"/>
      <c r="E48" s="76"/>
      <c r="F48" s="76"/>
      <c r="G48" s="76"/>
      <c r="H48" s="73"/>
    </row>
    <row r="49" spans="1:8" x14ac:dyDescent="0.25">
      <c r="A49" s="37" t="s">
        <v>69</v>
      </c>
      <c r="B49" s="37" t="s">
        <v>70</v>
      </c>
    </row>
    <row r="50" spans="1:8" x14ac:dyDescent="0.25">
      <c r="A50" s="37" t="s">
        <v>71</v>
      </c>
      <c r="B50" s="37" t="s">
        <v>72</v>
      </c>
      <c r="C50" s="75">
        <v>15153.4</v>
      </c>
      <c r="G50" s="75">
        <v>-15153.4</v>
      </c>
      <c r="H50" s="56">
        <v>15153.4</v>
      </c>
    </row>
    <row r="51" spans="1:8" x14ac:dyDescent="0.25">
      <c r="A51" s="37" t="s">
        <v>73</v>
      </c>
      <c r="B51" s="37" t="s">
        <v>74</v>
      </c>
    </row>
    <row r="52" spans="1:8" x14ac:dyDescent="0.25">
      <c r="A52" s="37" t="s">
        <v>75</v>
      </c>
      <c r="B52" s="37" t="s">
        <v>76</v>
      </c>
      <c r="C52" s="75">
        <v>18000</v>
      </c>
      <c r="G52" s="75">
        <v>-18000</v>
      </c>
      <c r="H52" s="56">
        <v>18000</v>
      </c>
    </row>
    <row r="53" spans="1:8" x14ac:dyDescent="0.25">
      <c r="A53" s="37" t="s">
        <v>77</v>
      </c>
      <c r="B53" s="37" t="s">
        <v>78</v>
      </c>
    </row>
    <row r="54" spans="1:8" x14ac:dyDescent="0.25">
      <c r="A54" s="37" t="s">
        <v>79</v>
      </c>
      <c r="B54" s="37" t="s">
        <v>80</v>
      </c>
    </row>
    <row r="55" spans="1:8" x14ac:dyDescent="0.25">
      <c r="A55" s="37" t="s">
        <v>81</v>
      </c>
      <c r="B55" s="37" t="s">
        <v>82</v>
      </c>
      <c r="C55" s="75">
        <v>5196.8</v>
      </c>
      <c r="G55" s="75">
        <v>-5196.8</v>
      </c>
      <c r="H55" s="56">
        <f>C55</f>
        <v>5196.8</v>
      </c>
    </row>
    <row r="56" spans="1:8" x14ac:dyDescent="0.25">
      <c r="A56" s="37" t="s">
        <v>83</v>
      </c>
      <c r="B56" s="37" t="s">
        <v>84</v>
      </c>
      <c r="C56" s="75">
        <v>21429.75</v>
      </c>
      <c r="D56" s="75">
        <v>400000</v>
      </c>
      <c r="E56" s="75">
        <v>94.64</v>
      </c>
      <c r="F56" s="75">
        <v>5.36</v>
      </c>
      <c r="G56" s="75">
        <v>378570.25</v>
      </c>
      <c r="H56" s="56">
        <v>400000</v>
      </c>
    </row>
    <row r="57" spans="1:8" x14ac:dyDescent="0.25">
      <c r="A57" s="37" t="s">
        <v>85</v>
      </c>
      <c r="B57" s="37" t="s">
        <v>86</v>
      </c>
    </row>
    <row r="58" spans="1:8" x14ac:dyDescent="0.25">
      <c r="A58" s="37" t="s">
        <v>87</v>
      </c>
      <c r="B58" s="37" t="s">
        <v>88</v>
      </c>
      <c r="D58" s="75">
        <v>180000</v>
      </c>
      <c r="E58" s="75">
        <v>100</v>
      </c>
      <c r="G58" s="75">
        <v>180000</v>
      </c>
      <c r="H58" s="56">
        <f>D58+150000</f>
        <v>330000</v>
      </c>
    </row>
    <row r="59" spans="1:8" x14ac:dyDescent="0.25">
      <c r="A59" s="38" t="s">
        <v>89</v>
      </c>
      <c r="B59" s="38" t="s">
        <v>17</v>
      </c>
      <c r="C59" s="76">
        <v>59779.95</v>
      </c>
      <c r="D59" s="76">
        <v>580000</v>
      </c>
      <c r="E59" s="76">
        <v>89.69</v>
      </c>
      <c r="F59" s="76">
        <v>10.31</v>
      </c>
      <c r="G59" s="76">
        <v>520220.05</v>
      </c>
      <c r="H59" s="73">
        <f>SUM(H49:H58)</f>
        <v>768350.2</v>
      </c>
    </row>
    <row r="60" spans="1:8" x14ac:dyDescent="0.25">
      <c r="A60" s="37" t="s">
        <v>12</v>
      </c>
      <c r="B60" s="37" t="s">
        <v>12</v>
      </c>
    </row>
    <row r="61" spans="1:8" x14ac:dyDescent="0.25">
      <c r="A61" s="38" t="s">
        <v>90</v>
      </c>
      <c r="B61" s="38" t="s">
        <v>91</v>
      </c>
      <c r="C61" s="76"/>
      <c r="D61" s="76"/>
      <c r="E61" s="76"/>
      <c r="F61" s="76"/>
      <c r="G61" s="76"/>
      <c r="H61" s="73"/>
    </row>
    <row r="62" spans="1:8" x14ac:dyDescent="0.25">
      <c r="A62" s="37" t="s">
        <v>92</v>
      </c>
      <c r="B62" s="37" t="s">
        <v>93</v>
      </c>
    </row>
    <row r="63" spans="1:8" x14ac:dyDescent="0.25">
      <c r="A63" s="38" t="s">
        <v>94</v>
      </c>
      <c r="B63" s="38" t="s">
        <v>95</v>
      </c>
      <c r="C63" s="76"/>
      <c r="D63" s="76"/>
      <c r="E63" s="76"/>
      <c r="F63" s="76"/>
      <c r="G63" s="76"/>
      <c r="H63" s="73">
        <f>H62</f>
        <v>0</v>
      </c>
    </row>
    <row r="64" spans="1:8" x14ac:dyDescent="0.25">
      <c r="A64" s="37" t="s">
        <v>12</v>
      </c>
      <c r="B64" s="37" t="s">
        <v>12</v>
      </c>
    </row>
    <row r="65" spans="1:8" x14ac:dyDescent="0.25">
      <c r="A65" s="38" t="s">
        <v>96</v>
      </c>
      <c r="B65" s="38" t="s">
        <v>97</v>
      </c>
      <c r="C65" s="76">
        <v>5178621.3</v>
      </c>
      <c r="D65" s="76">
        <v>11825375.560000001</v>
      </c>
      <c r="E65" s="76">
        <v>56.21</v>
      </c>
      <c r="F65" s="76">
        <v>43.79</v>
      </c>
      <c r="G65" s="76">
        <v>6646754.2599999998</v>
      </c>
      <c r="H65" s="73">
        <f>H63+H59+H46</f>
        <v>10717254.971931204</v>
      </c>
    </row>
    <row r="66" spans="1:8" x14ac:dyDescent="0.25">
      <c r="A66" s="37" t="s">
        <v>12</v>
      </c>
      <c r="B66" s="37" t="s">
        <v>12</v>
      </c>
    </row>
    <row r="67" spans="1:8" x14ac:dyDescent="0.25">
      <c r="A67" s="38" t="s">
        <v>98</v>
      </c>
      <c r="B67" s="38" t="s">
        <v>99</v>
      </c>
      <c r="C67" s="76"/>
      <c r="D67" s="76"/>
      <c r="E67" s="76"/>
      <c r="F67" s="76"/>
      <c r="G67" s="76"/>
      <c r="H67" s="73"/>
    </row>
    <row r="68" spans="1:8" x14ac:dyDescent="0.25">
      <c r="A68" s="37" t="s">
        <v>100</v>
      </c>
      <c r="B68" s="37" t="s">
        <v>101</v>
      </c>
    </row>
    <row r="69" spans="1:8" x14ac:dyDescent="0.25">
      <c r="A69" s="37" t="s">
        <v>102</v>
      </c>
      <c r="B69" s="37" t="s">
        <v>103</v>
      </c>
    </row>
    <row r="70" spans="1:8" x14ac:dyDescent="0.25">
      <c r="A70" s="38" t="s">
        <v>104</v>
      </c>
      <c r="B70" s="38" t="s">
        <v>105</v>
      </c>
      <c r="C70" s="76"/>
      <c r="D70" s="76"/>
      <c r="E70" s="76"/>
      <c r="F70" s="76"/>
      <c r="G70" s="76"/>
      <c r="H70" s="73"/>
    </row>
    <row r="71" spans="1:8" x14ac:dyDescent="0.25">
      <c r="A71" s="37" t="s">
        <v>12</v>
      </c>
      <c r="B71" s="37" t="s">
        <v>12</v>
      </c>
    </row>
    <row r="72" spans="1:8" x14ac:dyDescent="0.25">
      <c r="A72" s="38" t="s">
        <v>106</v>
      </c>
      <c r="B72" s="38" t="s">
        <v>107</v>
      </c>
      <c r="C72" s="76"/>
      <c r="D72" s="76"/>
      <c r="E72" s="76"/>
      <c r="F72" s="76"/>
      <c r="G72" s="76"/>
      <c r="H72" s="73"/>
    </row>
    <row r="73" spans="1:8" x14ac:dyDescent="0.25">
      <c r="A73" s="37" t="s">
        <v>108</v>
      </c>
      <c r="B73" s="37" t="s">
        <v>109</v>
      </c>
    </row>
    <row r="74" spans="1:8" x14ac:dyDescent="0.25">
      <c r="A74" s="37" t="s">
        <v>110</v>
      </c>
      <c r="B74" s="37" t="s">
        <v>111</v>
      </c>
    </row>
    <row r="75" spans="1:8" x14ac:dyDescent="0.25">
      <c r="A75" s="37" t="s">
        <v>112</v>
      </c>
      <c r="B75" s="37" t="s">
        <v>113</v>
      </c>
    </row>
    <row r="76" spans="1:8" x14ac:dyDescent="0.25">
      <c r="A76" s="37" t="s">
        <v>114</v>
      </c>
      <c r="B76" s="37" t="s">
        <v>115</v>
      </c>
      <c r="C76" s="75">
        <v>-168399.45</v>
      </c>
      <c r="D76" s="75">
        <v>-36000</v>
      </c>
      <c r="E76" s="75">
        <v>-367.78</v>
      </c>
      <c r="F76" s="75">
        <v>467.78</v>
      </c>
      <c r="G76" s="75">
        <v>132399.45000000001</v>
      </c>
      <c r="H76" s="56">
        <f>C76</f>
        <v>-168399.45</v>
      </c>
    </row>
    <row r="77" spans="1:8" x14ac:dyDescent="0.25">
      <c r="A77" s="38" t="s">
        <v>116</v>
      </c>
      <c r="B77" s="38" t="s">
        <v>117</v>
      </c>
      <c r="C77" s="76">
        <v>-168399.45</v>
      </c>
      <c r="D77" s="76">
        <v>-36000</v>
      </c>
      <c r="E77" s="76">
        <v>-367.78</v>
      </c>
      <c r="F77" s="76">
        <v>467.78</v>
      </c>
      <c r="G77" s="76">
        <v>132399.45000000001</v>
      </c>
      <c r="H77" s="73">
        <f>SUM(H73:H76)</f>
        <v>-168399.45</v>
      </c>
    </row>
    <row r="78" spans="1:8" x14ac:dyDescent="0.25">
      <c r="A78" s="37" t="s">
        <v>12</v>
      </c>
      <c r="B78" s="37" t="s">
        <v>12</v>
      </c>
    </row>
    <row r="79" spans="1:8" x14ac:dyDescent="0.25">
      <c r="A79" s="38" t="s">
        <v>118</v>
      </c>
      <c r="B79" s="38" t="s">
        <v>119</v>
      </c>
      <c r="C79" s="76"/>
      <c r="D79" s="76"/>
      <c r="E79" s="76"/>
      <c r="F79" s="76"/>
      <c r="G79" s="76"/>
      <c r="H79" s="73"/>
    </row>
    <row r="80" spans="1:8" x14ac:dyDescent="0.25">
      <c r="A80" s="37" t="s">
        <v>120</v>
      </c>
      <c r="B80" s="37" t="s">
        <v>121</v>
      </c>
    </row>
    <row r="81" spans="1:8" x14ac:dyDescent="0.25">
      <c r="A81" s="37" t="s">
        <v>122</v>
      </c>
      <c r="B81" s="37" t="s">
        <v>123</v>
      </c>
    </row>
    <row r="82" spans="1:8" x14ac:dyDescent="0.25">
      <c r="A82" s="38" t="s">
        <v>124</v>
      </c>
      <c r="B82" s="38" t="s">
        <v>125</v>
      </c>
      <c r="C82" s="76"/>
      <c r="D82" s="76"/>
      <c r="E82" s="76"/>
      <c r="F82" s="76"/>
      <c r="G82" s="76"/>
      <c r="H82" s="73">
        <f>H80+H81</f>
        <v>0</v>
      </c>
    </row>
    <row r="83" spans="1:8" x14ac:dyDescent="0.25">
      <c r="A83" s="37" t="s">
        <v>12</v>
      </c>
      <c r="B83" s="37" t="s">
        <v>12</v>
      </c>
    </row>
    <row r="84" spans="1:8" x14ac:dyDescent="0.25">
      <c r="A84" s="38" t="s">
        <v>126</v>
      </c>
      <c r="B84" s="38" t="s">
        <v>30</v>
      </c>
      <c r="C84" s="76"/>
      <c r="D84" s="76"/>
      <c r="E84" s="76"/>
      <c r="F84" s="76"/>
      <c r="G84" s="76"/>
      <c r="H84" s="73"/>
    </row>
    <row r="85" spans="1:8" x14ac:dyDescent="0.25">
      <c r="A85" s="37" t="s">
        <v>127</v>
      </c>
      <c r="B85" s="37" t="s">
        <v>128</v>
      </c>
    </row>
    <row r="86" spans="1:8" x14ac:dyDescent="0.25">
      <c r="A86" s="37" t="s">
        <v>129</v>
      </c>
      <c r="B86" s="37" t="s">
        <v>130</v>
      </c>
      <c r="D86" s="75">
        <v>-70200</v>
      </c>
      <c r="E86" s="75">
        <v>100</v>
      </c>
      <c r="G86" s="75">
        <v>-70200</v>
      </c>
      <c r="H86" s="56">
        <v>0</v>
      </c>
    </row>
    <row r="87" spans="1:8" x14ac:dyDescent="0.25">
      <c r="A87" s="37" t="s">
        <v>131</v>
      </c>
      <c r="B87" s="37" t="s">
        <v>132</v>
      </c>
    </row>
    <row r="88" spans="1:8" x14ac:dyDescent="0.25">
      <c r="A88" s="37" t="s">
        <v>133</v>
      </c>
      <c r="B88" s="37" t="s">
        <v>134</v>
      </c>
    </row>
    <row r="89" spans="1:8" x14ac:dyDescent="0.25">
      <c r="A89" s="37" t="s">
        <v>135</v>
      </c>
      <c r="B89" s="37" t="s">
        <v>136</v>
      </c>
    </row>
    <row r="90" spans="1:8" x14ac:dyDescent="0.25">
      <c r="A90" s="37" t="s">
        <v>137</v>
      </c>
      <c r="B90" s="37" t="s">
        <v>138</v>
      </c>
      <c r="C90" s="75">
        <v>-3655756.36</v>
      </c>
      <c r="D90" s="75">
        <v>-6983738.46</v>
      </c>
      <c r="E90" s="75">
        <v>47.65</v>
      </c>
      <c r="F90" s="75">
        <v>52.35</v>
      </c>
      <c r="G90" s="75">
        <v>-3327982.1</v>
      </c>
      <c r="H90" s="56">
        <f>-6296175.6-98705</f>
        <v>-6394880.5999999996</v>
      </c>
    </row>
    <row r="91" spans="1:8" x14ac:dyDescent="0.25">
      <c r="A91" s="37" t="s">
        <v>139</v>
      </c>
      <c r="B91" s="37" t="s">
        <v>140</v>
      </c>
    </row>
    <row r="92" spans="1:8" x14ac:dyDescent="0.25">
      <c r="A92" s="37" t="s">
        <v>141</v>
      </c>
      <c r="B92" s="37" t="s">
        <v>142</v>
      </c>
    </row>
    <row r="93" spans="1:8" x14ac:dyDescent="0.25">
      <c r="A93" s="37" t="s">
        <v>143</v>
      </c>
      <c r="B93" s="37" t="s">
        <v>144</v>
      </c>
    </row>
    <row r="94" spans="1:8" x14ac:dyDescent="0.25">
      <c r="A94" s="37" t="s">
        <v>145</v>
      </c>
      <c r="B94" s="37" t="s">
        <v>146</v>
      </c>
      <c r="C94" s="75">
        <v>-1712.36</v>
      </c>
      <c r="G94" s="75">
        <v>1712.36</v>
      </c>
      <c r="H94" s="56">
        <v>-1712.36</v>
      </c>
    </row>
    <row r="95" spans="1:8" x14ac:dyDescent="0.25">
      <c r="A95" s="37" t="s">
        <v>147</v>
      </c>
      <c r="B95" s="37" t="s">
        <v>148</v>
      </c>
      <c r="C95" s="75">
        <v>-15153.51</v>
      </c>
      <c r="G95" s="75">
        <v>15153.51</v>
      </c>
      <c r="H95" s="56">
        <v>-15153.51</v>
      </c>
    </row>
    <row r="96" spans="1:8" x14ac:dyDescent="0.25">
      <c r="A96" s="37" t="s">
        <v>149</v>
      </c>
      <c r="B96" s="37" t="s">
        <v>150</v>
      </c>
    </row>
    <row r="97" spans="1:8" x14ac:dyDescent="0.25">
      <c r="A97" s="37" t="s">
        <v>151</v>
      </c>
      <c r="B97" s="37" t="s">
        <v>152</v>
      </c>
    </row>
    <row r="98" spans="1:8" x14ac:dyDescent="0.25">
      <c r="A98" s="37" t="s">
        <v>153</v>
      </c>
      <c r="B98" s="37" t="s">
        <v>154</v>
      </c>
    </row>
    <row r="99" spans="1:8" x14ac:dyDescent="0.25">
      <c r="A99" s="37" t="s">
        <v>155</v>
      </c>
      <c r="B99" s="37" t="s">
        <v>156</v>
      </c>
    </row>
    <row r="100" spans="1:8" x14ac:dyDescent="0.25">
      <c r="A100" s="37" t="s">
        <v>157</v>
      </c>
      <c r="B100" s="37" t="s">
        <v>158</v>
      </c>
    </row>
    <row r="101" spans="1:8" x14ac:dyDescent="0.25">
      <c r="A101" s="37" t="s">
        <v>159</v>
      </c>
      <c r="B101" s="37" t="s">
        <v>160</v>
      </c>
    </row>
    <row r="102" spans="1:8" x14ac:dyDescent="0.25">
      <c r="A102" s="37" t="s">
        <v>161</v>
      </c>
      <c r="B102" s="37" t="s">
        <v>162</v>
      </c>
    </row>
    <row r="103" spans="1:8" x14ac:dyDescent="0.25">
      <c r="A103" s="37" t="s">
        <v>163</v>
      </c>
      <c r="B103" s="37" t="s">
        <v>164</v>
      </c>
    </row>
    <row r="104" spans="1:8" x14ac:dyDescent="0.25">
      <c r="A104" s="37" t="s">
        <v>165</v>
      </c>
      <c r="B104" s="37" t="s">
        <v>166</v>
      </c>
    </row>
    <row r="105" spans="1:8" x14ac:dyDescent="0.25">
      <c r="A105" s="37" t="s">
        <v>167</v>
      </c>
      <c r="B105" s="37" t="s">
        <v>168</v>
      </c>
    </row>
    <row r="106" spans="1:8" x14ac:dyDescent="0.25">
      <c r="A106" s="37" t="s">
        <v>169</v>
      </c>
      <c r="B106" s="37" t="s">
        <v>170</v>
      </c>
    </row>
    <row r="107" spans="1:8" x14ac:dyDescent="0.25">
      <c r="A107" s="38" t="s">
        <v>171</v>
      </c>
      <c r="B107" s="38" t="s">
        <v>172</v>
      </c>
      <c r="C107" s="76">
        <v>-3672622.23</v>
      </c>
      <c r="D107" s="76">
        <v>-7053938.46</v>
      </c>
      <c r="E107" s="76">
        <v>47.94</v>
      </c>
      <c r="F107" s="76">
        <v>52.06</v>
      </c>
      <c r="G107" s="76">
        <v>-3381316.23</v>
      </c>
      <c r="H107" s="73">
        <f>SUM(H85:H106)</f>
        <v>-6411746.4699999997</v>
      </c>
    </row>
    <row r="108" spans="1:8" x14ac:dyDescent="0.25">
      <c r="A108" s="37" t="s">
        <v>12</v>
      </c>
      <c r="B108" s="37" t="s">
        <v>12</v>
      </c>
    </row>
    <row r="109" spans="1:8" x14ac:dyDescent="0.25">
      <c r="A109" s="38" t="s">
        <v>173</v>
      </c>
      <c r="B109" s="38" t="s">
        <v>174</v>
      </c>
      <c r="C109" s="76"/>
      <c r="D109" s="76"/>
      <c r="E109" s="76"/>
      <c r="F109" s="76"/>
      <c r="G109" s="76"/>
      <c r="H109" s="73"/>
    </row>
    <row r="110" spans="1:8" x14ac:dyDescent="0.25">
      <c r="A110" s="37" t="s">
        <v>175</v>
      </c>
      <c r="B110" s="37" t="s">
        <v>174</v>
      </c>
      <c r="C110" s="75">
        <v>-618620.27</v>
      </c>
      <c r="D110" s="75">
        <v>-1393375.81</v>
      </c>
      <c r="E110" s="75">
        <v>55.6</v>
      </c>
      <c r="F110" s="75">
        <v>44.4</v>
      </c>
      <c r="G110" s="75">
        <v>-774755.54</v>
      </c>
      <c r="H110" s="56">
        <v>-1317095.98</v>
      </c>
    </row>
    <row r="111" spans="1:8" x14ac:dyDescent="0.25">
      <c r="A111" s="37" t="s">
        <v>176</v>
      </c>
      <c r="B111" s="37" t="s">
        <v>177</v>
      </c>
    </row>
    <row r="112" spans="1:8" x14ac:dyDescent="0.25">
      <c r="A112" s="38" t="s">
        <v>178</v>
      </c>
      <c r="B112" s="38" t="s">
        <v>179</v>
      </c>
      <c r="C112" s="76">
        <v>-618620.27</v>
      </c>
      <c r="D112" s="76">
        <v>-1393375.81</v>
      </c>
      <c r="E112" s="76">
        <v>55.6</v>
      </c>
      <c r="F112" s="76">
        <v>44.4</v>
      </c>
      <c r="G112" s="76">
        <v>-774755.54</v>
      </c>
      <c r="H112" s="73">
        <f>H110+H111</f>
        <v>-1317095.98</v>
      </c>
    </row>
    <row r="113" spans="1:8" x14ac:dyDescent="0.25">
      <c r="A113" s="37" t="s">
        <v>12</v>
      </c>
      <c r="B113" s="37" t="s">
        <v>12</v>
      </c>
    </row>
    <row r="114" spans="1:8" x14ac:dyDescent="0.25">
      <c r="A114" s="38" t="s">
        <v>180</v>
      </c>
      <c r="B114" s="38" t="s">
        <v>181</v>
      </c>
      <c r="C114" s="76"/>
      <c r="D114" s="76"/>
      <c r="E114" s="76"/>
      <c r="F114" s="76"/>
      <c r="G114" s="76"/>
      <c r="H114" s="73"/>
    </row>
    <row r="115" spans="1:8" x14ac:dyDescent="0.25">
      <c r="A115" s="37" t="s">
        <v>182</v>
      </c>
      <c r="B115" s="37" t="s">
        <v>183</v>
      </c>
      <c r="C115" s="75">
        <v>453040.84</v>
      </c>
      <c r="D115" s="75">
        <v>618119</v>
      </c>
      <c r="E115" s="75">
        <v>26.71</v>
      </c>
      <c r="F115" s="75">
        <v>73.290000000000006</v>
      </c>
      <c r="G115" s="75">
        <v>165078.16</v>
      </c>
      <c r="H115" s="56">
        <f>C115*2</f>
        <v>906081.68</v>
      </c>
    </row>
    <row r="116" spans="1:8" x14ac:dyDescent="0.25">
      <c r="A116" s="37" t="s">
        <v>184</v>
      </c>
      <c r="B116" s="37" t="s">
        <v>185</v>
      </c>
      <c r="C116" s="75">
        <v>52438</v>
      </c>
      <c r="G116" s="75">
        <v>-52438</v>
      </c>
      <c r="H116" s="56">
        <f>C116</f>
        <v>52438</v>
      </c>
    </row>
    <row r="117" spans="1:8" x14ac:dyDescent="0.25">
      <c r="A117" s="37" t="s">
        <v>186</v>
      </c>
      <c r="B117" s="37" t="s">
        <v>187</v>
      </c>
    </row>
    <row r="118" spans="1:8" x14ac:dyDescent="0.25">
      <c r="A118" s="37" t="s">
        <v>188</v>
      </c>
      <c r="B118" s="37" t="s">
        <v>189</v>
      </c>
    </row>
    <row r="119" spans="1:8" x14ac:dyDescent="0.25">
      <c r="A119" s="37" t="s">
        <v>190</v>
      </c>
      <c r="B119" s="37" t="s">
        <v>191</v>
      </c>
    </row>
    <row r="120" spans="1:8" x14ac:dyDescent="0.25">
      <c r="A120" s="37" t="s">
        <v>192</v>
      </c>
      <c r="B120" s="37" t="s">
        <v>193</v>
      </c>
    </row>
    <row r="121" spans="1:8" x14ac:dyDescent="0.25">
      <c r="A121" s="37" t="s">
        <v>194</v>
      </c>
      <c r="B121" s="37" t="s">
        <v>195</v>
      </c>
    </row>
    <row r="122" spans="1:8" x14ac:dyDescent="0.25">
      <c r="A122" s="38" t="s">
        <v>196</v>
      </c>
      <c r="B122" s="38" t="s">
        <v>197</v>
      </c>
      <c r="C122" s="76">
        <v>505478.84</v>
      </c>
      <c r="D122" s="76">
        <v>618119</v>
      </c>
      <c r="E122" s="76">
        <v>18.22</v>
      </c>
      <c r="F122" s="76">
        <v>81.78</v>
      </c>
      <c r="G122" s="76">
        <v>112640.16</v>
      </c>
      <c r="H122" s="73">
        <f>SUM(H115:H121)</f>
        <v>958519.68</v>
      </c>
    </row>
    <row r="123" spans="1:8" x14ac:dyDescent="0.25">
      <c r="A123" s="38" t="s">
        <v>198</v>
      </c>
      <c r="B123" s="38" t="s">
        <v>199</v>
      </c>
      <c r="C123" s="76">
        <v>-3785763.66</v>
      </c>
      <c r="D123" s="76">
        <v>-7829195.2699999996</v>
      </c>
      <c r="E123" s="76">
        <v>51.65</v>
      </c>
      <c r="F123" s="76">
        <v>48.35</v>
      </c>
      <c r="G123" s="76">
        <v>-4043431.61</v>
      </c>
      <c r="H123" s="73">
        <f>H122+H112+H107</f>
        <v>-6770322.7699999996</v>
      </c>
    </row>
    <row r="124" spans="1:8" x14ac:dyDescent="0.25">
      <c r="A124" s="37" t="s">
        <v>12</v>
      </c>
      <c r="B124" s="37" t="s">
        <v>12</v>
      </c>
    </row>
    <row r="125" spans="1:8" x14ac:dyDescent="0.25">
      <c r="A125" s="38" t="s">
        <v>200</v>
      </c>
      <c r="B125" s="38" t="s">
        <v>201</v>
      </c>
      <c r="C125" s="76">
        <v>-3954163.11</v>
      </c>
      <c r="D125" s="76">
        <v>-7865195.2699999996</v>
      </c>
      <c r="E125" s="76">
        <v>49.73</v>
      </c>
      <c r="F125" s="76">
        <v>50.27</v>
      </c>
      <c r="G125" s="76">
        <v>-3911032.16</v>
      </c>
      <c r="H125" s="73">
        <f>H123+H82+H77</f>
        <v>-6938722.2199999997</v>
      </c>
    </row>
    <row r="126" spans="1:8" x14ac:dyDescent="0.25">
      <c r="A126" s="37" t="s">
        <v>12</v>
      </c>
      <c r="B126" s="37" t="s">
        <v>12</v>
      </c>
    </row>
    <row r="127" spans="1:8" x14ac:dyDescent="0.25">
      <c r="A127" s="38" t="s">
        <v>202</v>
      </c>
      <c r="B127" s="38" t="s">
        <v>203</v>
      </c>
      <c r="C127" s="76">
        <v>1224458.19</v>
      </c>
      <c r="D127" s="76">
        <v>3960180.29</v>
      </c>
      <c r="E127" s="76">
        <v>69.08</v>
      </c>
      <c r="F127" s="76">
        <v>30.92</v>
      </c>
      <c r="G127" s="76">
        <v>2735722.1</v>
      </c>
      <c r="H127" s="73">
        <f>H125+H65</f>
        <v>3778532.7519312045</v>
      </c>
    </row>
    <row r="128" spans="1:8" x14ac:dyDescent="0.25">
      <c r="A128" s="37" t="s">
        <v>12</v>
      </c>
      <c r="B128" s="37" t="s">
        <v>12</v>
      </c>
    </row>
    <row r="129" spans="1:8" x14ac:dyDescent="0.25">
      <c r="A129" s="38" t="s">
        <v>204</v>
      </c>
      <c r="B129" s="38" t="s">
        <v>205</v>
      </c>
      <c r="C129" s="76"/>
      <c r="D129" s="76"/>
      <c r="E129" s="76"/>
      <c r="F129" s="76"/>
      <c r="G129" s="76"/>
      <c r="H129" s="73"/>
    </row>
    <row r="130" spans="1:8" x14ac:dyDescent="0.25">
      <c r="A130" s="37" t="s">
        <v>206</v>
      </c>
      <c r="B130" s="37" t="s">
        <v>207</v>
      </c>
      <c r="C130" s="75">
        <v>3850</v>
      </c>
      <c r="D130" s="75">
        <v>116100</v>
      </c>
      <c r="E130" s="75">
        <v>96.68</v>
      </c>
      <c r="F130" s="75">
        <v>3.32</v>
      </c>
      <c r="G130" s="75">
        <v>112250</v>
      </c>
      <c r="H130" s="56">
        <v>116100</v>
      </c>
    </row>
    <row r="131" spans="1:8" x14ac:dyDescent="0.25">
      <c r="A131" s="37" t="s">
        <v>208</v>
      </c>
      <c r="B131" s="37" t="s">
        <v>209</v>
      </c>
    </row>
    <row r="132" spans="1:8" x14ac:dyDescent="0.25">
      <c r="A132" s="37" t="s">
        <v>210</v>
      </c>
      <c r="B132" s="37" t="s">
        <v>211</v>
      </c>
      <c r="D132" s="75">
        <v>150000</v>
      </c>
      <c r="E132" s="75">
        <v>100</v>
      </c>
      <c r="G132" s="75">
        <v>150000</v>
      </c>
    </row>
    <row r="133" spans="1:8" x14ac:dyDescent="0.25">
      <c r="A133" s="37" t="s">
        <v>212</v>
      </c>
      <c r="B133" s="37" t="s">
        <v>213</v>
      </c>
    </row>
    <row r="134" spans="1:8" x14ac:dyDescent="0.25">
      <c r="A134" s="37" t="s">
        <v>214</v>
      </c>
      <c r="B134" s="37" t="s">
        <v>215</v>
      </c>
    </row>
    <row r="135" spans="1:8" x14ac:dyDescent="0.25">
      <c r="A135" s="37" t="s">
        <v>216</v>
      </c>
      <c r="B135" s="37" t="s">
        <v>217</v>
      </c>
    </row>
    <row r="136" spans="1:8" x14ac:dyDescent="0.25">
      <c r="A136" s="38" t="s">
        <v>218</v>
      </c>
      <c r="B136" s="38" t="s">
        <v>219</v>
      </c>
      <c r="C136" s="76">
        <v>3850</v>
      </c>
      <c r="D136" s="76">
        <v>266100</v>
      </c>
      <c r="E136" s="76">
        <v>98.55</v>
      </c>
      <c r="F136" s="76">
        <v>1.45</v>
      </c>
      <c r="G136" s="76">
        <v>262250</v>
      </c>
      <c r="H136" s="73">
        <f>SUM(H130:H135)</f>
        <v>116100</v>
      </c>
    </row>
    <row r="137" spans="1:8" x14ac:dyDescent="0.25">
      <c r="A137" s="37" t="s">
        <v>12</v>
      </c>
      <c r="B137" s="37" t="s">
        <v>12</v>
      </c>
    </row>
    <row r="138" spans="1:8" x14ac:dyDescent="0.25">
      <c r="A138" s="38" t="s">
        <v>220</v>
      </c>
      <c r="B138" s="38" t="s">
        <v>221</v>
      </c>
      <c r="C138" s="76"/>
      <c r="D138" s="76"/>
      <c r="E138" s="76"/>
      <c r="F138" s="76"/>
      <c r="G138" s="76"/>
      <c r="H138" s="73"/>
    </row>
    <row r="139" spans="1:8" x14ac:dyDescent="0.25">
      <c r="A139" s="37" t="s">
        <v>222</v>
      </c>
      <c r="B139" s="37" t="s">
        <v>223</v>
      </c>
    </row>
    <row r="140" spans="1:8" x14ac:dyDescent="0.25">
      <c r="A140" s="37" t="s">
        <v>224</v>
      </c>
      <c r="B140" s="37" t="s">
        <v>225</v>
      </c>
    </row>
    <row r="141" spans="1:8" x14ac:dyDescent="0.25">
      <c r="A141" s="37" t="s">
        <v>226</v>
      </c>
      <c r="B141" s="37" t="s">
        <v>227</v>
      </c>
      <c r="C141" s="75">
        <v>-507948.34</v>
      </c>
      <c r="D141" s="75">
        <v>-471152.96</v>
      </c>
      <c r="E141" s="75">
        <v>-7.81</v>
      </c>
      <c r="F141" s="75">
        <v>107.81</v>
      </c>
      <c r="G141" s="75">
        <v>36795.379999999997</v>
      </c>
      <c r="H141" s="56">
        <f>'Fælles adm.'!H142*-1*0.14</f>
        <v>-1396389.3915999997</v>
      </c>
    </row>
    <row r="142" spans="1:8" x14ac:dyDescent="0.25">
      <c r="A142" s="37" t="s">
        <v>228</v>
      </c>
      <c r="B142" s="37" t="s">
        <v>229</v>
      </c>
    </row>
    <row r="143" spans="1:8" x14ac:dyDescent="0.25">
      <c r="A143" s="37" t="s">
        <v>230</v>
      </c>
      <c r="B143" s="37" t="s">
        <v>231</v>
      </c>
    </row>
    <row r="144" spans="1:8" x14ac:dyDescent="0.25">
      <c r="A144" s="37" t="s">
        <v>232</v>
      </c>
      <c r="B144" s="37" t="s">
        <v>233</v>
      </c>
      <c r="C144" s="75">
        <v>-5357.13</v>
      </c>
      <c r="D144" s="75">
        <v>-40000</v>
      </c>
      <c r="E144" s="75">
        <v>86.61</v>
      </c>
      <c r="F144" s="75">
        <v>13.39</v>
      </c>
      <c r="G144" s="75">
        <v>-34642.870000000003</v>
      </c>
      <c r="H144" s="56">
        <v>-40000</v>
      </c>
    </row>
    <row r="145" spans="1:8" x14ac:dyDescent="0.25">
      <c r="A145" s="37" t="s">
        <v>234</v>
      </c>
      <c r="B145" s="37" t="s">
        <v>235</v>
      </c>
      <c r="D145" s="75">
        <v>-5000</v>
      </c>
      <c r="E145" s="75">
        <v>100</v>
      </c>
      <c r="G145" s="75">
        <v>-5000</v>
      </c>
      <c r="H145" s="56">
        <v>-5000</v>
      </c>
    </row>
    <row r="146" spans="1:8" x14ac:dyDescent="0.25">
      <c r="A146" s="37" t="s">
        <v>236</v>
      </c>
      <c r="B146" s="37" t="s">
        <v>237</v>
      </c>
      <c r="C146" s="75">
        <v>-228</v>
      </c>
      <c r="D146" s="75">
        <v>-5000</v>
      </c>
      <c r="E146" s="75">
        <v>95.44</v>
      </c>
      <c r="F146" s="75">
        <v>4.5599999999999996</v>
      </c>
      <c r="G146" s="75">
        <v>-4772</v>
      </c>
      <c r="H146" s="56">
        <v>-5000</v>
      </c>
    </row>
    <row r="147" spans="1:8" x14ac:dyDescent="0.25">
      <c r="A147" s="37" t="s">
        <v>238</v>
      </c>
      <c r="B147" s="37" t="s">
        <v>239</v>
      </c>
      <c r="D147" s="75">
        <v>-8000</v>
      </c>
      <c r="E147" s="75">
        <v>100</v>
      </c>
      <c r="G147" s="75">
        <v>-8000</v>
      </c>
      <c r="H147" s="56">
        <v>-8000</v>
      </c>
    </row>
    <row r="148" spans="1:8" x14ac:dyDescent="0.25">
      <c r="A148" s="37" t="s">
        <v>240</v>
      </c>
      <c r="B148" s="37" t="s">
        <v>241</v>
      </c>
      <c r="C148" s="75">
        <v>-15683.19</v>
      </c>
      <c r="G148" s="75">
        <v>15683.19</v>
      </c>
      <c r="H148" s="56">
        <f>C148</f>
        <v>-15683.19</v>
      </c>
    </row>
    <row r="149" spans="1:8" x14ac:dyDescent="0.25">
      <c r="A149" s="37" t="s">
        <v>242</v>
      </c>
      <c r="B149" s="37" t="s">
        <v>243</v>
      </c>
      <c r="C149" s="75">
        <v>-384.2</v>
      </c>
      <c r="D149" s="75">
        <v>-10000</v>
      </c>
      <c r="E149" s="75">
        <v>96.16</v>
      </c>
      <c r="F149" s="75">
        <v>3.84</v>
      </c>
      <c r="G149" s="75">
        <v>-9615.7999999999993</v>
      </c>
      <c r="H149" s="56">
        <v>-10000</v>
      </c>
    </row>
    <row r="150" spans="1:8" x14ac:dyDescent="0.25">
      <c r="A150" s="37" t="s">
        <v>244</v>
      </c>
      <c r="B150" s="37" t="s">
        <v>245</v>
      </c>
      <c r="C150" s="75">
        <v>-4718.33</v>
      </c>
      <c r="D150" s="75">
        <v>-10000</v>
      </c>
      <c r="E150" s="75">
        <v>52.82</v>
      </c>
      <c r="F150" s="75">
        <v>47.18</v>
      </c>
      <c r="G150" s="75">
        <v>-5281.67</v>
      </c>
      <c r="H150" s="56">
        <v>-10000</v>
      </c>
    </row>
    <row r="151" spans="1:8" x14ac:dyDescent="0.25">
      <c r="A151" s="37" t="s">
        <v>246</v>
      </c>
      <c r="B151" s="37" t="s">
        <v>247</v>
      </c>
      <c r="C151" s="75">
        <v>-105203.85</v>
      </c>
      <c r="D151" s="75">
        <v>-892500</v>
      </c>
      <c r="E151" s="75">
        <v>88.21</v>
      </c>
      <c r="F151" s="75">
        <v>11.79</v>
      </c>
      <c r="G151" s="75">
        <v>-787296.15</v>
      </c>
      <c r="H151" s="56">
        <f>892500-880000</f>
        <v>12500</v>
      </c>
    </row>
    <row r="152" spans="1:8" x14ac:dyDescent="0.25">
      <c r="A152" s="37" t="s">
        <v>248</v>
      </c>
      <c r="B152" s="37" t="s">
        <v>249</v>
      </c>
      <c r="C152" s="75">
        <v>-8070.21</v>
      </c>
      <c r="D152" s="75">
        <v>-50000</v>
      </c>
      <c r="E152" s="75">
        <v>83.86</v>
      </c>
      <c r="F152" s="75">
        <v>16.14</v>
      </c>
      <c r="G152" s="75">
        <v>-41929.79</v>
      </c>
      <c r="H152" s="56">
        <v>-50000</v>
      </c>
    </row>
    <row r="153" spans="1:8" x14ac:dyDescent="0.25">
      <c r="A153" s="37" t="s">
        <v>250</v>
      </c>
      <c r="B153" s="37" t="s">
        <v>251</v>
      </c>
    </row>
    <row r="154" spans="1:8" x14ac:dyDescent="0.25">
      <c r="A154" s="37" t="s">
        <v>252</v>
      </c>
      <c r="B154" s="37" t="s">
        <v>253</v>
      </c>
      <c r="C154" s="75">
        <v>-17374.5</v>
      </c>
      <c r="G154" s="75">
        <v>17374.5</v>
      </c>
      <c r="H154" s="56">
        <f>C154</f>
        <v>-17374.5</v>
      </c>
    </row>
    <row r="155" spans="1:8" x14ac:dyDescent="0.25">
      <c r="A155" s="37" t="s">
        <v>254</v>
      </c>
      <c r="B155" s="37" t="s">
        <v>255</v>
      </c>
      <c r="C155" s="75">
        <v>-9880</v>
      </c>
      <c r="D155" s="75">
        <v>-20000</v>
      </c>
      <c r="E155" s="75">
        <v>50.6</v>
      </c>
      <c r="F155" s="75">
        <v>49.4</v>
      </c>
      <c r="G155" s="75">
        <v>-10120</v>
      </c>
      <c r="H155" s="56">
        <v>-20000</v>
      </c>
    </row>
    <row r="156" spans="1:8" x14ac:dyDescent="0.25">
      <c r="A156" s="37" t="s">
        <v>256</v>
      </c>
      <c r="B156" s="37" t="s">
        <v>257</v>
      </c>
      <c r="D156" s="75">
        <v>-9533.33</v>
      </c>
      <c r="E156" s="75">
        <v>100</v>
      </c>
      <c r="G156" s="75">
        <v>-9533.33</v>
      </c>
      <c r="H156" s="56">
        <v>-9533.33</v>
      </c>
    </row>
    <row r="157" spans="1:8" x14ac:dyDescent="0.25">
      <c r="A157" s="37" t="s">
        <v>258</v>
      </c>
      <c r="B157" s="37" t="s">
        <v>259</v>
      </c>
    </row>
    <row r="158" spans="1:8" x14ac:dyDescent="0.25">
      <c r="A158" s="37" t="s">
        <v>260</v>
      </c>
      <c r="B158" s="37" t="s">
        <v>261</v>
      </c>
      <c r="D158" s="75">
        <v>-115825</v>
      </c>
      <c r="E158" s="75">
        <v>100</v>
      </c>
      <c r="G158" s="75">
        <v>-115825</v>
      </c>
      <c r="H158" s="56">
        <v>0</v>
      </c>
    </row>
    <row r="159" spans="1:8" x14ac:dyDescent="0.25">
      <c r="A159" s="37" t="s">
        <v>262</v>
      </c>
      <c r="B159" s="37" t="s">
        <v>263</v>
      </c>
    </row>
    <row r="160" spans="1:8" x14ac:dyDescent="0.25">
      <c r="A160" s="37" t="s">
        <v>264</v>
      </c>
      <c r="B160" s="37" t="s">
        <v>265</v>
      </c>
    </row>
    <row r="161" spans="1:8" x14ac:dyDescent="0.25">
      <c r="A161" s="37" t="s">
        <v>266</v>
      </c>
      <c r="B161" s="37" t="s">
        <v>267</v>
      </c>
    </row>
    <row r="162" spans="1:8" x14ac:dyDescent="0.25">
      <c r="A162" s="37" t="s">
        <v>268</v>
      </c>
      <c r="B162" s="37" t="s">
        <v>269</v>
      </c>
      <c r="C162" s="75">
        <v>-58953.79</v>
      </c>
      <c r="D162" s="75">
        <v>-108000</v>
      </c>
      <c r="E162" s="75">
        <v>45.41</v>
      </c>
      <c r="F162" s="75">
        <v>54.59</v>
      </c>
      <c r="G162" s="75">
        <v>-49046.21</v>
      </c>
      <c r="H162" s="56">
        <f>C162*2</f>
        <v>-117907.58</v>
      </c>
    </row>
    <row r="163" spans="1:8" x14ac:dyDescent="0.25">
      <c r="A163" s="37" t="s">
        <v>270</v>
      </c>
      <c r="B163" s="37" t="s">
        <v>271</v>
      </c>
      <c r="C163" s="75">
        <v>-22639.41</v>
      </c>
      <c r="D163" s="75">
        <v>-88000</v>
      </c>
      <c r="E163" s="75">
        <v>74.27</v>
      </c>
      <c r="F163" s="75">
        <v>25.73</v>
      </c>
      <c r="G163" s="75">
        <v>-65360.59</v>
      </c>
      <c r="H163" s="56">
        <f>D163</f>
        <v>-88000</v>
      </c>
    </row>
    <row r="164" spans="1:8" x14ac:dyDescent="0.25">
      <c r="A164" s="37" t="s">
        <v>272</v>
      </c>
      <c r="B164" s="37" t="s">
        <v>273</v>
      </c>
      <c r="C164" s="75">
        <v>-20895.95</v>
      </c>
      <c r="D164" s="75">
        <v>-12000</v>
      </c>
      <c r="E164" s="75">
        <v>-74.13</v>
      </c>
      <c r="F164" s="75">
        <v>174.13</v>
      </c>
      <c r="G164" s="75">
        <v>8895.9500000000007</v>
      </c>
      <c r="H164" s="56">
        <f>C164*2</f>
        <v>-41791.9</v>
      </c>
    </row>
    <row r="165" spans="1:8" x14ac:dyDescent="0.25">
      <c r="A165" s="37" t="s">
        <v>274</v>
      </c>
      <c r="B165" s="37" t="s">
        <v>275</v>
      </c>
      <c r="C165" s="75">
        <v>-576.38</v>
      </c>
      <c r="D165" s="75">
        <v>-10000</v>
      </c>
      <c r="E165" s="75">
        <v>94.24</v>
      </c>
      <c r="F165" s="75">
        <v>5.76</v>
      </c>
      <c r="G165" s="75">
        <v>-9423.6200000000008</v>
      </c>
      <c r="H165" s="56">
        <v>-10000</v>
      </c>
    </row>
    <row r="166" spans="1:8" x14ac:dyDescent="0.25">
      <c r="A166" s="37" t="s">
        <v>276</v>
      </c>
      <c r="B166" s="37" t="s">
        <v>277</v>
      </c>
      <c r="C166" s="75">
        <v>-551.53</v>
      </c>
      <c r="D166" s="75">
        <v>-10000</v>
      </c>
      <c r="E166" s="75">
        <v>94.48</v>
      </c>
      <c r="F166" s="75">
        <v>5.52</v>
      </c>
      <c r="G166" s="75">
        <v>-9448.4699999999993</v>
      </c>
      <c r="H166" s="56">
        <v>-10000</v>
      </c>
    </row>
    <row r="167" spans="1:8" x14ac:dyDescent="0.25">
      <c r="A167" s="37" t="s">
        <v>278</v>
      </c>
      <c r="B167" s="37" t="s">
        <v>279</v>
      </c>
    </row>
    <row r="168" spans="1:8" x14ac:dyDescent="0.25">
      <c r="A168" s="37" t="s">
        <v>280</v>
      </c>
      <c r="B168" s="37" t="s">
        <v>281</v>
      </c>
      <c r="C168" s="75">
        <v>-19645.669999999998</v>
      </c>
      <c r="D168" s="75">
        <v>-20000</v>
      </c>
      <c r="E168" s="75">
        <v>1.77</v>
      </c>
      <c r="F168" s="75">
        <v>98.23</v>
      </c>
      <c r="G168" s="75">
        <v>-354.33</v>
      </c>
      <c r="H168" s="56">
        <v>-20000</v>
      </c>
    </row>
    <row r="169" spans="1:8" x14ac:dyDescent="0.25">
      <c r="A169" s="37" t="s">
        <v>282</v>
      </c>
      <c r="B169" s="37" t="s">
        <v>283</v>
      </c>
      <c r="C169" s="75">
        <v>-9202.92</v>
      </c>
      <c r="D169" s="75">
        <v>-25000</v>
      </c>
      <c r="E169" s="75">
        <v>63.19</v>
      </c>
      <c r="F169" s="75">
        <v>36.81</v>
      </c>
      <c r="G169" s="75">
        <v>-15797.08</v>
      </c>
      <c r="H169" s="56">
        <v>-25000</v>
      </c>
    </row>
    <row r="170" spans="1:8" x14ac:dyDescent="0.25">
      <c r="A170" s="37" t="s">
        <v>284</v>
      </c>
      <c r="B170" s="37" t="s">
        <v>285</v>
      </c>
    </row>
    <row r="171" spans="1:8" x14ac:dyDescent="0.25">
      <c r="A171" s="37" t="s">
        <v>286</v>
      </c>
      <c r="B171" s="37" t="s">
        <v>287</v>
      </c>
    </row>
    <row r="172" spans="1:8" x14ac:dyDescent="0.25">
      <c r="A172" s="37" t="s">
        <v>288</v>
      </c>
      <c r="B172" s="37" t="s">
        <v>289</v>
      </c>
    </row>
    <row r="173" spans="1:8" x14ac:dyDescent="0.25">
      <c r="A173" s="37" t="s">
        <v>290</v>
      </c>
      <c r="B173" s="37" t="s">
        <v>291</v>
      </c>
      <c r="C173" s="75">
        <v>-4476.8</v>
      </c>
      <c r="D173" s="75">
        <v>-15000</v>
      </c>
      <c r="E173" s="75">
        <v>70.150000000000006</v>
      </c>
      <c r="F173" s="75">
        <v>29.85</v>
      </c>
      <c r="G173" s="75">
        <v>-10523.2</v>
      </c>
      <c r="H173" s="56">
        <v>-15000</v>
      </c>
    </row>
    <row r="174" spans="1:8" x14ac:dyDescent="0.25">
      <c r="A174" s="37" t="s">
        <v>292</v>
      </c>
      <c r="B174" s="37" t="s">
        <v>293</v>
      </c>
      <c r="C174" s="75">
        <v>-9378.86</v>
      </c>
      <c r="D174" s="75">
        <v>-52000</v>
      </c>
      <c r="E174" s="75">
        <v>81.96</v>
      </c>
      <c r="F174" s="75">
        <v>18.04</v>
      </c>
      <c r="G174" s="75">
        <v>-42621.14</v>
      </c>
      <c r="H174" s="56">
        <v>-52000</v>
      </c>
    </row>
    <row r="175" spans="1:8" x14ac:dyDescent="0.25">
      <c r="A175" s="37" t="s">
        <v>294</v>
      </c>
      <c r="B175" s="37" t="s">
        <v>295</v>
      </c>
      <c r="C175" s="75">
        <v>-201878.79</v>
      </c>
      <c r="G175" s="75">
        <v>201878.79</v>
      </c>
      <c r="H175" s="56">
        <f>C175+183911.04</f>
        <v>-17967.75</v>
      </c>
    </row>
    <row r="176" spans="1:8" x14ac:dyDescent="0.25">
      <c r="A176" s="37" t="s">
        <v>296</v>
      </c>
      <c r="B176" s="37" t="s">
        <v>297</v>
      </c>
      <c r="C176" s="75">
        <v>-1022.35</v>
      </c>
      <c r="D176" s="75">
        <v>-1200</v>
      </c>
      <c r="E176" s="75">
        <v>14.8</v>
      </c>
      <c r="F176" s="75">
        <v>85.2</v>
      </c>
      <c r="G176" s="75">
        <v>-177.65</v>
      </c>
      <c r="H176" s="56">
        <v>-1200</v>
      </c>
    </row>
    <row r="177" spans="1:8" x14ac:dyDescent="0.25">
      <c r="A177" s="37" t="s">
        <v>298</v>
      </c>
      <c r="B177" s="37" t="s">
        <v>299</v>
      </c>
      <c r="C177" s="75">
        <v>-70381.399999999994</v>
      </c>
      <c r="D177" s="75">
        <v>-250000</v>
      </c>
      <c r="E177" s="75">
        <v>71.849999999999994</v>
      </c>
      <c r="F177" s="75">
        <v>28.15</v>
      </c>
      <c r="G177" s="75">
        <v>-179618.6</v>
      </c>
      <c r="H177" s="56">
        <v>-250000</v>
      </c>
    </row>
    <row r="178" spans="1:8" x14ac:dyDescent="0.25">
      <c r="A178" s="37" t="s">
        <v>300</v>
      </c>
      <c r="B178" s="37" t="s">
        <v>301</v>
      </c>
      <c r="C178" s="75">
        <v>-12191.79</v>
      </c>
      <c r="D178" s="75">
        <v>-2000</v>
      </c>
      <c r="E178" s="75">
        <v>-509.59</v>
      </c>
      <c r="F178" s="75">
        <v>609.59</v>
      </c>
      <c r="G178" s="75">
        <v>10191.790000000001</v>
      </c>
      <c r="H178" s="56">
        <f>C178</f>
        <v>-12191.79</v>
      </c>
    </row>
    <row r="179" spans="1:8" x14ac:dyDescent="0.25">
      <c r="A179" s="37" t="s">
        <v>302</v>
      </c>
      <c r="B179" s="37" t="s">
        <v>303</v>
      </c>
      <c r="C179" s="75">
        <v>-1430</v>
      </c>
      <c r="D179" s="75">
        <v>-10000</v>
      </c>
      <c r="E179" s="75">
        <v>85.7</v>
      </c>
      <c r="F179" s="75">
        <v>14.3</v>
      </c>
      <c r="G179" s="75">
        <v>-8570</v>
      </c>
      <c r="H179" s="56">
        <v>-10000</v>
      </c>
    </row>
    <row r="180" spans="1:8" x14ac:dyDescent="0.25">
      <c r="A180" s="37" t="s">
        <v>304</v>
      </c>
      <c r="B180" s="37" t="s">
        <v>305</v>
      </c>
      <c r="D180" s="75">
        <v>-10000</v>
      </c>
      <c r="E180" s="75">
        <v>100</v>
      </c>
      <c r="G180" s="75">
        <v>-10000</v>
      </c>
      <c r="H180" s="56">
        <v>-5000</v>
      </c>
    </row>
    <row r="181" spans="1:8" x14ac:dyDescent="0.25">
      <c r="A181" s="37" t="s">
        <v>306</v>
      </c>
      <c r="B181" s="37" t="s">
        <v>307</v>
      </c>
      <c r="C181" s="75">
        <v>-1664</v>
      </c>
      <c r="D181" s="75">
        <v>-15000</v>
      </c>
      <c r="E181" s="75">
        <v>88.91</v>
      </c>
      <c r="F181" s="75">
        <v>11.09</v>
      </c>
      <c r="G181" s="75">
        <v>-13336</v>
      </c>
      <c r="H181" s="56">
        <v>-15000</v>
      </c>
    </row>
    <row r="182" spans="1:8" x14ac:dyDescent="0.25">
      <c r="A182" s="37" t="s">
        <v>308</v>
      </c>
      <c r="B182" s="37" t="s">
        <v>309</v>
      </c>
      <c r="C182" s="75">
        <v>-2728.7</v>
      </c>
      <c r="D182" s="75">
        <v>-20000</v>
      </c>
      <c r="E182" s="75">
        <v>86.36</v>
      </c>
      <c r="F182" s="75">
        <v>13.64</v>
      </c>
      <c r="G182" s="75">
        <v>-17271.3</v>
      </c>
      <c r="H182" s="56">
        <v>-20000</v>
      </c>
    </row>
    <row r="183" spans="1:8" x14ac:dyDescent="0.25">
      <c r="A183" s="37" t="s">
        <v>310</v>
      </c>
      <c r="B183" s="37" t="s">
        <v>311</v>
      </c>
      <c r="C183" s="75">
        <v>-446</v>
      </c>
      <c r="D183" s="75">
        <v>-5000</v>
      </c>
      <c r="E183" s="75">
        <v>91.08</v>
      </c>
      <c r="F183" s="75">
        <v>8.92</v>
      </c>
      <c r="G183" s="75">
        <v>-4554</v>
      </c>
      <c r="H183" s="56">
        <v>-5000</v>
      </c>
    </row>
    <row r="184" spans="1:8" x14ac:dyDescent="0.25">
      <c r="A184" s="37" t="s">
        <v>312</v>
      </c>
      <c r="B184" s="37" t="s">
        <v>313</v>
      </c>
      <c r="C184" s="75">
        <v>-5244.8</v>
      </c>
      <c r="D184" s="75">
        <v>-47666.67</v>
      </c>
      <c r="E184" s="75">
        <v>89</v>
      </c>
      <c r="F184" s="75">
        <v>11</v>
      </c>
      <c r="G184" s="75">
        <v>-42421.87</v>
      </c>
      <c r="H184" s="56">
        <v>-47666.67</v>
      </c>
    </row>
    <row r="185" spans="1:8" x14ac:dyDescent="0.25">
      <c r="A185" s="37" t="s">
        <v>314</v>
      </c>
      <c r="B185" s="37" t="s">
        <v>315</v>
      </c>
      <c r="C185" s="75">
        <v>-2652.79</v>
      </c>
      <c r="D185" s="75">
        <v>-20000</v>
      </c>
      <c r="E185" s="75">
        <v>86.74</v>
      </c>
      <c r="F185" s="75">
        <v>13.26</v>
      </c>
      <c r="G185" s="75">
        <v>-17347.21</v>
      </c>
      <c r="H185" s="56">
        <v>-20000</v>
      </c>
    </row>
    <row r="186" spans="1:8" x14ac:dyDescent="0.25">
      <c r="A186" s="37" t="s">
        <v>316</v>
      </c>
      <c r="B186" s="37" t="s">
        <v>317</v>
      </c>
      <c r="C186" s="75">
        <v>-2730.87</v>
      </c>
      <c r="D186" s="75">
        <v>-25000</v>
      </c>
      <c r="E186" s="75">
        <v>89.08</v>
      </c>
      <c r="F186" s="75">
        <v>10.92</v>
      </c>
      <c r="G186" s="75">
        <v>-22269.13</v>
      </c>
      <c r="H186" s="56">
        <v>-25000</v>
      </c>
    </row>
    <row r="187" spans="1:8" x14ac:dyDescent="0.25">
      <c r="A187" s="37" t="s">
        <v>318</v>
      </c>
      <c r="B187" s="37" t="s">
        <v>319</v>
      </c>
      <c r="C187" s="75">
        <v>-3856.92</v>
      </c>
      <c r="D187" s="75">
        <v>-100000</v>
      </c>
      <c r="E187" s="75">
        <v>96.14</v>
      </c>
      <c r="F187" s="75">
        <v>3.86</v>
      </c>
      <c r="G187" s="75">
        <v>-96143.08</v>
      </c>
      <c r="H187" s="56">
        <v>-100000</v>
      </c>
    </row>
    <row r="188" spans="1:8" x14ac:dyDescent="0.25">
      <c r="A188" s="37" t="s">
        <v>320</v>
      </c>
      <c r="B188" s="37" t="s">
        <v>321</v>
      </c>
      <c r="C188" s="75">
        <v>-1213.5999999999999</v>
      </c>
      <c r="D188" s="75">
        <v>-38133.33</v>
      </c>
      <c r="E188" s="75">
        <v>96.82</v>
      </c>
      <c r="F188" s="75">
        <v>3.18</v>
      </c>
      <c r="G188" s="75">
        <v>-36919.730000000003</v>
      </c>
      <c r="H188" s="56">
        <v>-38133.33</v>
      </c>
    </row>
    <row r="189" spans="1:8" x14ac:dyDescent="0.25">
      <c r="A189" s="37" t="s">
        <v>322</v>
      </c>
      <c r="B189" s="37" t="s">
        <v>323</v>
      </c>
      <c r="C189" s="75">
        <v>-56824.47</v>
      </c>
      <c r="D189" s="75">
        <v>-680360</v>
      </c>
      <c r="E189" s="75">
        <v>91.65</v>
      </c>
      <c r="F189" s="75">
        <v>8.35</v>
      </c>
      <c r="G189" s="75">
        <v>-623535.53</v>
      </c>
      <c r="H189" s="56">
        <v>-680360</v>
      </c>
    </row>
    <row r="190" spans="1:8" x14ac:dyDescent="0.25">
      <c r="A190" s="37" t="s">
        <v>324</v>
      </c>
      <c r="B190" s="37" t="s">
        <v>325</v>
      </c>
    </row>
    <row r="191" spans="1:8" x14ac:dyDescent="0.25">
      <c r="A191" s="37" t="s">
        <v>326</v>
      </c>
      <c r="B191" s="37" t="s">
        <v>327</v>
      </c>
      <c r="C191" s="75">
        <v>-94559.34</v>
      </c>
      <c r="D191" s="75">
        <v>-140000</v>
      </c>
      <c r="E191" s="75">
        <v>32.46</v>
      </c>
      <c r="F191" s="75">
        <v>67.540000000000006</v>
      </c>
      <c r="G191" s="75">
        <v>-45440.66</v>
      </c>
      <c r="H191" s="56">
        <v>-140000</v>
      </c>
    </row>
    <row r="192" spans="1:8" x14ac:dyDescent="0.25">
      <c r="A192" s="37" t="s">
        <v>328</v>
      </c>
      <c r="B192" s="37" t="s">
        <v>329</v>
      </c>
      <c r="D192" s="75">
        <v>-252000</v>
      </c>
      <c r="E192" s="75">
        <v>100</v>
      </c>
      <c r="G192" s="75">
        <v>-252000</v>
      </c>
      <c r="H192" s="56">
        <v>-252000</v>
      </c>
    </row>
    <row r="193" spans="1:8" x14ac:dyDescent="0.25">
      <c r="A193" s="37" t="s">
        <v>330</v>
      </c>
      <c r="B193" s="37" t="s">
        <v>331</v>
      </c>
      <c r="D193" s="75">
        <v>-100000</v>
      </c>
      <c r="E193" s="75">
        <v>100</v>
      </c>
      <c r="G193" s="75">
        <v>-100000</v>
      </c>
      <c r="H193" s="56">
        <v>-100000</v>
      </c>
    </row>
    <row r="194" spans="1:8" x14ac:dyDescent="0.25">
      <c r="A194" s="37" t="s">
        <v>332</v>
      </c>
      <c r="B194" s="37" t="s">
        <v>333</v>
      </c>
    </row>
    <row r="195" spans="1:8" x14ac:dyDescent="0.25">
      <c r="A195" s="37" t="s">
        <v>334</v>
      </c>
      <c r="B195" s="37" t="s">
        <v>335</v>
      </c>
      <c r="D195" s="75">
        <v>1</v>
      </c>
      <c r="E195" s="75">
        <v>100</v>
      </c>
      <c r="G195" s="75">
        <v>1</v>
      </c>
      <c r="H195" s="56">
        <v>1</v>
      </c>
    </row>
    <row r="196" spans="1:8" x14ac:dyDescent="0.25">
      <c r="A196" s="37" t="s">
        <v>336</v>
      </c>
      <c r="B196" s="37" t="s">
        <v>337</v>
      </c>
    </row>
    <row r="197" spans="1:8" x14ac:dyDescent="0.25">
      <c r="A197" s="37" t="s">
        <v>338</v>
      </c>
      <c r="B197" s="37" t="s">
        <v>339</v>
      </c>
    </row>
    <row r="198" spans="1:8" x14ac:dyDescent="0.25">
      <c r="A198" s="38" t="s">
        <v>340</v>
      </c>
      <c r="B198" s="38" t="s">
        <v>341</v>
      </c>
      <c r="C198" s="76">
        <v>-1279994.8799999999</v>
      </c>
      <c r="D198" s="76">
        <v>-3693370.29</v>
      </c>
      <c r="E198" s="76">
        <v>65.34</v>
      </c>
      <c r="F198" s="76">
        <v>34.659999999999997</v>
      </c>
      <c r="G198" s="76">
        <v>-2413375.41</v>
      </c>
      <c r="H198" s="73">
        <f>SUM(H139:H197)</f>
        <v>-3693698.4315999998</v>
      </c>
    </row>
    <row r="199" spans="1:8" x14ac:dyDescent="0.25">
      <c r="A199" s="37" t="s">
        <v>12</v>
      </c>
      <c r="B199" s="37" t="s">
        <v>12</v>
      </c>
    </row>
    <row r="200" spans="1:8" x14ac:dyDescent="0.25">
      <c r="A200" s="38" t="s">
        <v>342</v>
      </c>
      <c r="B200" s="38" t="s">
        <v>343</v>
      </c>
      <c r="C200" s="76"/>
      <c r="D200" s="76"/>
      <c r="E200" s="76"/>
      <c r="F200" s="76"/>
      <c r="G200" s="76"/>
      <c r="H200" s="73"/>
    </row>
    <row r="201" spans="1:8" x14ac:dyDescent="0.25">
      <c r="A201" s="37" t="s">
        <v>344</v>
      </c>
      <c r="B201" s="37" t="s">
        <v>345</v>
      </c>
    </row>
    <row r="202" spans="1:8" x14ac:dyDescent="0.25">
      <c r="A202" s="37" t="s">
        <v>346</v>
      </c>
      <c r="B202" s="37" t="s">
        <v>347</v>
      </c>
    </row>
    <row r="203" spans="1:8" x14ac:dyDescent="0.25">
      <c r="A203" s="37" t="s">
        <v>348</v>
      </c>
      <c r="B203" s="37" t="s">
        <v>349</v>
      </c>
      <c r="D203" s="75">
        <v>42000</v>
      </c>
      <c r="E203" s="75">
        <v>100</v>
      </c>
      <c r="G203" s="75">
        <v>42000</v>
      </c>
      <c r="H203" s="56">
        <v>1000</v>
      </c>
    </row>
    <row r="204" spans="1:8" x14ac:dyDescent="0.25">
      <c r="A204" s="37" t="s">
        <v>350</v>
      </c>
      <c r="B204" s="37" t="s">
        <v>351</v>
      </c>
    </row>
    <row r="205" spans="1:8" x14ac:dyDescent="0.25">
      <c r="A205" s="37" t="s">
        <v>352</v>
      </c>
      <c r="B205" s="37" t="s">
        <v>353</v>
      </c>
    </row>
    <row r="206" spans="1:8" x14ac:dyDescent="0.25">
      <c r="A206" s="37" t="s">
        <v>354</v>
      </c>
      <c r="B206" s="37" t="s">
        <v>355</v>
      </c>
    </row>
    <row r="207" spans="1:8" x14ac:dyDescent="0.25">
      <c r="A207" s="37" t="s">
        <v>356</v>
      </c>
      <c r="B207" s="37" t="s">
        <v>357</v>
      </c>
    </row>
    <row r="208" spans="1:8" x14ac:dyDescent="0.25">
      <c r="A208" s="37" t="s">
        <v>358</v>
      </c>
      <c r="B208" s="37" t="s">
        <v>359</v>
      </c>
    </row>
    <row r="209" spans="1:8" x14ac:dyDescent="0.25">
      <c r="A209" s="38" t="s">
        <v>360</v>
      </c>
      <c r="B209" s="38" t="s">
        <v>361</v>
      </c>
      <c r="C209" s="76"/>
      <c r="D209" s="76">
        <v>42000</v>
      </c>
      <c r="E209" s="76">
        <v>100</v>
      </c>
      <c r="F209" s="76"/>
      <c r="G209" s="76">
        <v>42000</v>
      </c>
      <c r="H209" s="73">
        <f>SUM(H201:H208)</f>
        <v>1000</v>
      </c>
    </row>
    <row r="210" spans="1:8" x14ac:dyDescent="0.25">
      <c r="A210" s="37" t="s">
        <v>12</v>
      </c>
      <c r="B210" s="37" t="s">
        <v>12</v>
      </c>
    </row>
    <row r="211" spans="1:8" x14ac:dyDescent="0.25">
      <c r="A211" s="38" t="s">
        <v>362</v>
      </c>
      <c r="B211" s="38" t="s">
        <v>40</v>
      </c>
      <c r="C211" s="76"/>
      <c r="D211" s="76"/>
      <c r="E211" s="76"/>
      <c r="F211" s="76"/>
      <c r="G211" s="76"/>
      <c r="H211" s="73"/>
    </row>
    <row r="212" spans="1:8" x14ac:dyDescent="0.25">
      <c r="A212" s="37" t="s">
        <v>363</v>
      </c>
      <c r="B212" s="37" t="s">
        <v>364</v>
      </c>
    </row>
    <row r="213" spans="1:8" x14ac:dyDescent="0.25">
      <c r="A213" s="37" t="s">
        <v>365</v>
      </c>
      <c r="B213" s="37" t="s">
        <v>366</v>
      </c>
    </row>
    <row r="214" spans="1:8" x14ac:dyDescent="0.25">
      <c r="A214" s="37" t="s">
        <v>367</v>
      </c>
      <c r="B214" s="37" t="s">
        <v>368</v>
      </c>
    </row>
    <row r="215" spans="1:8" x14ac:dyDescent="0.25">
      <c r="A215" s="37" t="s">
        <v>369</v>
      </c>
      <c r="B215" s="37" t="s">
        <v>370</v>
      </c>
      <c r="C215" s="75">
        <v>-1626.3</v>
      </c>
      <c r="G215" s="75">
        <v>1626.3</v>
      </c>
      <c r="H215" s="56">
        <f>C215</f>
        <v>-1626.3</v>
      </c>
    </row>
    <row r="216" spans="1:8" x14ac:dyDescent="0.25">
      <c r="A216" s="37" t="s">
        <v>371</v>
      </c>
      <c r="B216" s="37" t="s">
        <v>372</v>
      </c>
    </row>
    <row r="217" spans="1:8" x14ac:dyDescent="0.25">
      <c r="A217" s="37" t="s">
        <v>373</v>
      </c>
      <c r="B217" s="37" t="s">
        <v>374</v>
      </c>
    </row>
    <row r="218" spans="1:8" x14ac:dyDescent="0.25">
      <c r="A218" s="37" t="s">
        <v>375</v>
      </c>
      <c r="B218" s="37" t="s">
        <v>376</v>
      </c>
      <c r="C218" s="75">
        <v>-307.70999999999998</v>
      </c>
      <c r="G218" s="75">
        <v>307.70999999999998</v>
      </c>
      <c r="H218" s="56">
        <v>-307.70999999999998</v>
      </c>
    </row>
    <row r="219" spans="1:8" x14ac:dyDescent="0.25">
      <c r="A219" s="38" t="s">
        <v>377</v>
      </c>
      <c r="B219" s="38" t="s">
        <v>378</v>
      </c>
      <c r="C219" s="76">
        <v>-1934.01</v>
      </c>
      <c r="D219" s="76"/>
      <c r="E219" s="76"/>
      <c r="F219" s="76"/>
      <c r="G219" s="76">
        <v>1934.01</v>
      </c>
      <c r="H219" s="73">
        <f>SUM(H212:H218)</f>
        <v>-1934.01</v>
      </c>
    </row>
    <row r="220" spans="1:8" x14ac:dyDescent="0.25">
      <c r="A220" s="37" t="s">
        <v>12</v>
      </c>
      <c r="B220" s="37" t="s">
        <v>12</v>
      </c>
    </row>
    <row r="221" spans="1:8" x14ac:dyDescent="0.25">
      <c r="A221" s="38" t="s">
        <v>379</v>
      </c>
      <c r="B221" s="38" t="s">
        <v>380</v>
      </c>
      <c r="C221" s="76"/>
      <c r="D221" s="76"/>
      <c r="E221" s="76"/>
      <c r="F221" s="76"/>
      <c r="G221" s="76"/>
      <c r="H221" s="73"/>
    </row>
    <row r="222" spans="1:8" x14ac:dyDescent="0.25">
      <c r="A222" s="37" t="s">
        <v>381</v>
      </c>
      <c r="B222" s="37" t="s">
        <v>380</v>
      </c>
    </row>
    <row r="223" spans="1:8" x14ac:dyDescent="0.25">
      <c r="A223" s="38" t="s">
        <v>382</v>
      </c>
      <c r="B223" s="38" t="s">
        <v>383</v>
      </c>
      <c r="C223" s="76"/>
      <c r="D223" s="76"/>
      <c r="E223" s="76"/>
      <c r="F223" s="76"/>
      <c r="G223" s="76"/>
      <c r="H223" s="73">
        <f>H222</f>
        <v>0</v>
      </c>
    </row>
    <row r="224" spans="1:8" x14ac:dyDescent="0.25">
      <c r="A224" s="37" t="s">
        <v>12</v>
      </c>
      <c r="B224" s="37" t="s">
        <v>12</v>
      </c>
    </row>
    <row r="225" spans="1:8" x14ac:dyDescent="0.25">
      <c r="A225" s="38" t="s">
        <v>384</v>
      </c>
      <c r="B225" s="38" t="s">
        <v>385</v>
      </c>
      <c r="C225" s="76"/>
      <c r="D225" s="76"/>
      <c r="E225" s="76"/>
      <c r="F225" s="76"/>
      <c r="G225" s="76"/>
      <c r="H225" s="73"/>
    </row>
    <row r="226" spans="1:8" x14ac:dyDescent="0.25">
      <c r="A226" s="37" t="s">
        <v>386</v>
      </c>
      <c r="B226" s="37" t="s">
        <v>385</v>
      </c>
    </row>
    <row r="227" spans="1:8" x14ac:dyDescent="0.25">
      <c r="A227" s="38" t="s">
        <v>387</v>
      </c>
      <c r="B227" s="38" t="s">
        <v>388</v>
      </c>
      <c r="C227" s="76"/>
      <c r="D227" s="76"/>
      <c r="E227" s="76"/>
      <c r="F227" s="76"/>
      <c r="G227" s="76"/>
      <c r="H227" s="73">
        <f>H226</f>
        <v>0</v>
      </c>
    </row>
    <row r="228" spans="1:8" x14ac:dyDescent="0.25">
      <c r="A228" s="37" t="s">
        <v>12</v>
      </c>
      <c r="B228" s="37" t="s">
        <v>12</v>
      </c>
    </row>
    <row r="229" spans="1:8" ht="15.75" thickBot="1" x14ac:dyDescent="0.3">
      <c r="A229" s="39" t="s">
        <v>389</v>
      </c>
      <c r="B229" s="39" t="s">
        <v>390</v>
      </c>
      <c r="C229" s="77">
        <v>-53620.7</v>
      </c>
      <c r="D229" s="77">
        <v>574910</v>
      </c>
      <c r="E229" s="77">
        <v>109.33</v>
      </c>
      <c r="F229" s="77">
        <v>-9.33</v>
      </c>
      <c r="G229" s="77">
        <v>628530.69999999995</v>
      </c>
      <c r="H229" s="74">
        <f>H219+H209+H223+H227+H198+H136+H127</f>
        <v>200000.31033120491</v>
      </c>
    </row>
    <row r="230" spans="1:8" ht="15.75" thickTop="1" x14ac:dyDescent="0.25">
      <c r="A230" s="37" t="s">
        <v>12</v>
      </c>
      <c r="B230" s="37" t="s">
        <v>12</v>
      </c>
    </row>
    <row r="231" spans="1:8" x14ac:dyDescent="0.25">
      <c r="A231" s="38" t="s">
        <v>391</v>
      </c>
      <c r="B231" s="38" t="s">
        <v>392</v>
      </c>
      <c r="C231" s="76"/>
      <c r="D231" s="76"/>
      <c r="E231" s="76"/>
      <c r="F231" s="76"/>
      <c r="G231" s="76"/>
      <c r="H231" s="73"/>
    </row>
    <row r="232" spans="1:8" x14ac:dyDescent="0.25">
      <c r="A232" s="37" t="s">
        <v>393</v>
      </c>
      <c r="B232" s="37" t="s">
        <v>394</v>
      </c>
    </row>
    <row r="233" spans="1:8" x14ac:dyDescent="0.25">
      <c r="A233" s="37" t="s">
        <v>395</v>
      </c>
      <c r="B233" s="37" t="s">
        <v>396</v>
      </c>
    </row>
    <row r="234" spans="1:8" x14ac:dyDescent="0.25">
      <c r="A234" s="37" t="s">
        <v>397</v>
      </c>
      <c r="B234" s="37" t="s">
        <v>398</v>
      </c>
    </row>
    <row r="235" spans="1:8" x14ac:dyDescent="0.25">
      <c r="A235" s="38" t="s">
        <v>399</v>
      </c>
      <c r="B235" s="38" t="s">
        <v>400</v>
      </c>
      <c r="C235" s="76"/>
      <c r="D235" s="76"/>
      <c r="E235" s="76"/>
      <c r="F235" s="76"/>
      <c r="G235" s="76"/>
      <c r="H235" s="73">
        <f>SUM(H232:H234)</f>
        <v>0</v>
      </c>
    </row>
    <row r="236" spans="1:8" x14ac:dyDescent="0.25">
      <c r="A236" s="37" t="s">
        <v>12</v>
      </c>
      <c r="B236" s="37" t="s">
        <v>12</v>
      </c>
    </row>
    <row r="237" spans="1:8" ht="15.75" thickBot="1" x14ac:dyDescent="0.3">
      <c r="A237" s="39" t="s">
        <v>12</v>
      </c>
      <c r="B237" s="39" t="s">
        <v>46</v>
      </c>
      <c r="C237" s="77">
        <v>-53620.7</v>
      </c>
      <c r="D237" s="77">
        <v>574910</v>
      </c>
      <c r="E237" s="77">
        <v>109.33</v>
      </c>
      <c r="F237" s="77">
        <v>-9.33</v>
      </c>
      <c r="G237" s="77">
        <v>628530.69999999995</v>
      </c>
      <c r="H237" s="74">
        <f>H229+H235</f>
        <v>200000.31033120491</v>
      </c>
    </row>
    <row r="238" spans="1:8" ht="15.75" thickTop="1" x14ac:dyDescent="0.25">
      <c r="A238" s="37" t="s">
        <v>12</v>
      </c>
      <c r="B238" s="37" t="s">
        <v>12</v>
      </c>
    </row>
    <row r="239" spans="1:8" x14ac:dyDescent="0.25">
      <c r="A239" s="37" t="s">
        <v>401</v>
      </c>
      <c r="B239" s="37" t="s">
        <v>402</v>
      </c>
    </row>
    <row r="240" spans="1:8" x14ac:dyDescent="0.25">
      <c r="A240" s="37" t="s">
        <v>403</v>
      </c>
      <c r="B240" s="37" t="s">
        <v>404</v>
      </c>
    </row>
    <row r="241" spans="1:8" x14ac:dyDescent="0.25">
      <c r="A241" s="37" t="s">
        <v>405</v>
      </c>
      <c r="B241" s="37" t="s">
        <v>406</v>
      </c>
      <c r="C241" s="75">
        <v>-206904.92</v>
      </c>
      <c r="D241" s="75">
        <v>-502945</v>
      </c>
      <c r="E241" s="75">
        <v>58.86</v>
      </c>
      <c r="F241" s="75">
        <v>41.14</v>
      </c>
      <c r="G241" s="75">
        <v>-296040.08</v>
      </c>
      <c r="H241" s="56">
        <v>-380594.32</v>
      </c>
    </row>
    <row r="242" spans="1:8" x14ac:dyDescent="0.25">
      <c r="A242" s="37" t="s">
        <v>407</v>
      </c>
      <c r="B242" s="37" t="s">
        <v>408</v>
      </c>
    </row>
    <row r="243" spans="1:8" x14ac:dyDescent="0.25">
      <c r="A243" s="38" t="s">
        <v>409</v>
      </c>
      <c r="B243" s="38" t="s">
        <v>410</v>
      </c>
      <c r="C243" s="76">
        <v>-206904.92</v>
      </c>
      <c r="D243" s="76">
        <v>-502945</v>
      </c>
      <c r="E243" s="76">
        <v>58.86</v>
      </c>
      <c r="F243" s="76">
        <v>41.14</v>
      </c>
      <c r="G243" s="76">
        <v>-296040.08</v>
      </c>
      <c r="H243" s="73">
        <f>SUM(H239:H242)</f>
        <v>-380594.32</v>
      </c>
    </row>
    <row r="244" spans="1:8" x14ac:dyDescent="0.25">
      <c r="A244" s="37" t="s">
        <v>12</v>
      </c>
      <c r="B244" s="37" t="s">
        <v>12</v>
      </c>
    </row>
    <row r="245" spans="1:8" ht="15.75" thickBot="1" x14ac:dyDescent="0.3">
      <c r="A245" s="39" t="s">
        <v>411</v>
      </c>
      <c r="B245" s="39" t="s">
        <v>49</v>
      </c>
      <c r="C245" s="77">
        <v>-260525.62</v>
      </c>
      <c r="D245" s="77">
        <v>71965</v>
      </c>
      <c r="E245" s="77">
        <v>462.02</v>
      </c>
      <c r="F245" s="77">
        <v>-362.02</v>
      </c>
      <c r="G245" s="77">
        <v>332490.62</v>
      </c>
      <c r="H245" s="74">
        <f>+H237+H243</f>
        <v>-180594.0096687951</v>
      </c>
    </row>
    <row r="246" spans="1:8" ht="15.7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46"/>
  <sheetViews>
    <sheetView topLeftCell="A28" workbookViewId="0">
      <selection activeCell="H42" sqref="H42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3" width="12.85546875" style="75" bestFit="1" customWidth="1"/>
    <col min="4" max="4" width="13.28515625" style="75" bestFit="1" customWidth="1"/>
    <col min="5" max="5" width="10.28515625" style="75" bestFit="1" customWidth="1"/>
    <col min="6" max="6" width="19.42578125" style="75" bestFit="1" customWidth="1"/>
    <col min="7" max="7" width="12.85546875" style="75" bestFit="1" customWidth="1"/>
    <col min="8" max="8" width="13.28515625" style="56" bestFit="1" customWidth="1"/>
  </cols>
  <sheetData>
    <row r="1" spans="1:8" x14ac:dyDescent="0.25">
      <c r="A1" s="31" t="s">
        <v>0</v>
      </c>
      <c r="B1" s="30"/>
    </row>
    <row r="2" spans="1:8" x14ac:dyDescent="0.25">
      <c r="A2" s="32" t="s">
        <v>1</v>
      </c>
      <c r="B2" s="32" t="s">
        <v>2</v>
      </c>
    </row>
    <row r="3" spans="1:8" x14ac:dyDescent="0.25">
      <c r="A3" s="32" t="s">
        <v>3</v>
      </c>
      <c r="B3" s="32" t="s">
        <v>4</v>
      </c>
    </row>
    <row r="4" spans="1:8" x14ac:dyDescent="0.25">
      <c r="A4" s="32" t="s">
        <v>412</v>
      </c>
      <c r="B4" s="32" t="s">
        <v>417</v>
      </c>
    </row>
    <row r="6" spans="1:8" x14ac:dyDescent="0.25">
      <c r="A6" s="32" t="s">
        <v>5</v>
      </c>
      <c r="B6" s="32" t="s">
        <v>6</v>
      </c>
    </row>
    <row r="8" spans="1:8" x14ac:dyDescent="0.25">
      <c r="A8" s="30"/>
      <c r="B8" s="30"/>
      <c r="C8" s="75" t="s">
        <v>7</v>
      </c>
      <c r="D8" s="75" t="s">
        <v>8</v>
      </c>
      <c r="E8" s="75" t="s">
        <v>9</v>
      </c>
      <c r="F8" s="75" t="s">
        <v>10</v>
      </c>
      <c r="G8" s="75" t="s">
        <v>11</v>
      </c>
      <c r="H8" s="56" t="s">
        <v>428</v>
      </c>
    </row>
    <row r="9" spans="1:8" x14ac:dyDescent="0.25">
      <c r="A9" s="33" t="s">
        <v>12</v>
      </c>
      <c r="B9" s="33" t="s">
        <v>13</v>
      </c>
      <c r="C9" s="76"/>
      <c r="D9" s="76"/>
      <c r="E9" s="76"/>
      <c r="F9" s="76"/>
      <c r="G9" s="76"/>
      <c r="H9" s="73"/>
    </row>
    <row r="10" spans="1:8" x14ac:dyDescent="0.25">
      <c r="A10" s="32" t="s">
        <v>12</v>
      </c>
      <c r="B10" s="32" t="s">
        <v>12</v>
      </c>
    </row>
    <row r="11" spans="1:8" x14ac:dyDescent="0.25">
      <c r="A11" s="32" t="s">
        <v>14</v>
      </c>
      <c r="B11" s="32" t="s">
        <v>15</v>
      </c>
      <c r="C11" s="75">
        <v>5421565</v>
      </c>
      <c r="D11" s="75">
        <v>10675874.140000001</v>
      </c>
      <c r="E11" s="75">
        <v>49.22</v>
      </c>
      <c r="F11" s="75">
        <v>50.78</v>
      </c>
      <c r="G11" s="75">
        <v>5254309.1399999997</v>
      </c>
      <c r="H11" s="56">
        <f>H46</f>
        <v>9288563.3756021392</v>
      </c>
    </row>
    <row r="12" spans="1:8" x14ac:dyDescent="0.25">
      <c r="A12" s="32" t="s">
        <v>16</v>
      </c>
      <c r="B12" s="32" t="s">
        <v>17</v>
      </c>
      <c r="C12" s="75">
        <v>12939.53</v>
      </c>
      <c r="D12" s="75">
        <v>152000</v>
      </c>
      <c r="E12" s="75">
        <v>91.49</v>
      </c>
      <c r="F12" s="75">
        <v>8.51</v>
      </c>
      <c r="G12" s="75">
        <v>139060.47</v>
      </c>
      <c r="H12" s="56">
        <f>H59</f>
        <v>164939.53</v>
      </c>
    </row>
    <row r="13" spans="1:8" x14ac:dyDescent="0.25">
      <c r="A13" s="32" t="s">
        <v>18</v>
      </c>
      <c r="B13" s="32" t="s">
        <v>19</v>
      </c>
      <c r="C13" s="75">
        <v>22758.05</v>
      </c>
      <c r="G13" s="75">
        <v>-22758.05</v>
      </c>
      <c r="H13" s="56">
        <f>H63</f>
        <v>22758.05</v>
      </c>
    </row>
    <row r="14" spans="1:8" x14ac:dyDescent="0.25">
      <c r="A14" s="33" t="s">
        <v>20</v>
      </c>
      <c r="B14" s="33" t="s">
        <v>21</v>
      </c>
      <c r="C14" s="76">
        <v>5457262.5800000001</v>
      </c>
      <c r="D14" s="76">
        <v>10827874.140000001</v>
      </c>
      <c r="E14" s="76">
        <v>49.6</v>
      </c>
      <c r="F14" s="76">
        <v>50.4</v>
      </c>
      <c r="G14" s="76">
        <v>5370611.5599999996</v>
      </c>
      <c r="H14" s="73">
        <f>SUM(H11:H13)</f>
        <v>9476260.9556021392</v>
      </c>
    </row>
    <row r="15" spans="1:8" x14ac:dyDescent="0.25">
      <c r="A15" s="32" t="s">
        <v>12</v>
      </c>
      <c r="B15" s="32" t="s">
        <v>12</v>
      </c>
    </row>
    <row r="16" spans="1:8" x14ac:dyDescent="0.25">
      <c r="A16" s="33" t="s">
        <v>12</v>
      </c>
      <c r="B16" s="33" t="s">
        <v>22</v>
      </c>
      <c r="C16" s="76"/>
      <c r="D16" s="76"/>
      <c r="E16" s="76"/>
      <c r="F16" s="76"/>
      <c r="G16" s="76"/>
      <c r="H16" s="73"/>
    </row>
    <row r="17" spans="1:8" x14ac:dyDescent="0.25">
      <c r="A17" s="32" t="s">
        <v>23</v>
      </c>
      <c r="B17" s="32" t="s">
        <v>24</v>
      </c>
    </row>
    <row r="18" spans="1:8" x14ac:dyDescent="0.25">
      <c r="A18" s="32" t="s">
        <v>25</v>
      </c>
      <c r="B18" s="32" t="s">
        <v>26</v>
      </c>
      <c r="C18" s="75">
        <v>-90553.25</v>
      </c>
      <c r="D18" s="75">
        <v>-145000</v>
      </c>
      <c r="E18" s="75">
        <v>37.549999999999997</v>
      </c>
      <c r="F18" s="75">
        <v>62.45</v>
      </c>
      <c r="G18" s="75">
        <v>-54446.75</v>
      </c>
      <c r="H18" s="56">
        <f>H77</f>
        <v>-166854.25</v>
      </c>
    </row>
    <row r="19" spans="1:8" x14ac:dyDescent="0.25">
      <c r="A19" s="32" t="s">
        <v>27</v>
      </c>
      <c r="B19" s="32" t="s">
        <v>28</v>
      </c>
    </row>
    <row r="20" spans="1:8" x14ac:dyDescent="0.25">
      <c r="A20" s="32" t="s">
        <v>12</v>
      </c>
      <c r="B20" s="32" t="s">
        <v>12</v>
      </c>
    </row>
    <row r="21" spans="1:8" x14ac:dyDescent="0.25">
      <c r="A21" s="32" t="s">
        <v>29</v>
      </c>
      <c r="B21" s="32" t="s">
        <v>30</v>
      </c>
      <c r="C21" s="75">
        <v>-3568305.73</v>
      </c>
      <c r="D21" s="75">
        <v>-8242345.0199999996</v>
      </c>
      <c r="E21" s="75">
        <v>56.71</v>
      </c>
      <c r="F21" s="75">
        <v>43.29</v>
      </c>
      <c r="G21" s="75">
        <v>-4674039.29</v>
      </c>
      <c r="H21" s="56">
        <f>H123</f>
        <v>-6986596</v>
      </c>
    </row>
    <row r="22" spans="1:8" x14ac:dyDescent="0.25">
      <c r="A22" s="33" t="s">
        <v>31</v>
      </c>
      <c r="B22" s="33" t="s">
        <v>32</v>
      </c>
      <c r="C22" s="76">
        <v>-3658858.98</v>
      </c>
      <c r="D22" s="76">
        <v>-8387345.0199999996</v>
      </c>
      <c r="E22" s="76">
        <v>56.38</v>
      </c>
      <c r="F22" s="76">
        <v>43.62</v>
      </c>
      <c r="G22" s="76">
        <v>-4728486.04</v>
      </c>
      <c r="H22" s="73">
        <f>H21</f>
        <v>-6986596</v>
      </c>
    </row>
    <row r="23" spans="1:8" x14ac:dyDescent="0.25">
      <c r="A23" s="32" t="s">
        <v>12</v>
      </c>
      <c r="B23" s="32" t="s">
        <v>12</v>
      </c>
    </row>
    <row r="24" spans="1:8" x14ac:dyDescent="0.25">
      <c r="A24" s="32" t="s">
        <v>33</v>
      </c>
      <c r="B24" s="32" t="s">
        <v>34</v>
      </c>
      <c r="C24" s="75">
        <v>10983.84</v>
      </c>
      <c r="D24" s="75">
        <v>50000</v>
      </c>
      <c r="E24" s="75">
        <v>78.03</v>
      </c>
      <c r="F24" s="75">
        <v>21.97</v>
      </c>
      <c r="G24" s="75">
        <v>39016.160000000003</v>
      </c>
      <c r="H24" s="56">
        <f>H136</f>
        <v>56748.84</v>
      </c>
    </row>
    <row r="25" spans="1:8" x14ac:dyDescent="0.25">
      <c r="A25" s="32" t="s">
        <v>35</v>
      </c>
      <c r="B25" s="32" t="s">
        <v>36</v>
      </c>
      <c r="C25" s="75">
        <v>-1000312</v>
      </c>
      <c r="D25" s="75">
        <v>-3348833.53</v>
      </c>
      <c r="E25" s="75">
        <v>70.13</v>
      </c>
      <c r="F25" s="75">
        <v>29.87</v>
      </c>
      <c r="G25" s="75">
        <v>-2348521.5299999998</v>
      </c>
      <c r="H25" s="56">
        <f>H198</f>
        <v>-3278894.1409999994</v>
      </c>
    </row>
    <row r="26" spans="1:8" x14ac:dyDescent="0.25">
      <c r="A26" s="32" t="s">
        <v>37</v>
      </c>
      <c r="B26" s="32" t="s">
        <v>38</v>
      </c>
      <c r="H26" s="56">
        <f>H209</f>
        <v>0</v>
      </c>
    </row>
    <row r="27" spans="1:8" x14ac:dyDescent="0.25">
      <c r="A27" s="32" t="s">
        <v>39</v>
      </c>
      <c r="B27" s="32" t="s">
        <v>40</v>
      </c>
      <c r="C27" s="75">
        <v>-313.33</v>
      </c>
      <c r="G27" s="75">
        <v>313.33</v>
      </c>
      <c r="H27" s="56">
        <f>H219</f>
        <v>-313.33</v>
      </c>
    </row>
    <row r="28" spans="1:8" x14ac:dyDescent="0.25">
      <c r="A28" s="32" t="s">
        <v>41</v>
      </c>
      <c r="B28" s="32" t="s">
        <v>42</v>
      </c>
      <c r="H28" s="56">
        <f>H223</f>
        <v>0</v>
      </c>
    </row>
    <row r="29" spans="1:8" x14ac:dyDescent="0.25">
      <c r="A29" s="32" t="s">
        <v>43</v>
      </c>
      <c r="B29" s="32" t="s">
        <v>44</v>
      </c>
      <c r="H29" s="56">
        <f>H227</f>
        <v>0</v>
      </c>
    </row>
    <row r="30" spans="1:8" x14ac:dyDescent="0.25">
      <c r="A30" s="32" t="s">
        <v>12</v>
      </c>
      <c r="B30" s="32" t="s">
        <v>12</v>
      </c>
    </row>
    <row r="31" spans="1:8" ht="15.75" thickBot="1" x14ac:dyDescent="0.3">
      <c r="A31" s="34" t="s">
        <v>45</v>
      </c>
      <c r="B31" s="34" t="s">
        <v>46</v>
      </c>
      <c r="C31" s="77">
        <v>808762.11</v>
      </c>
      <c r="D31" s="77">
        <v>-858304.41</v>
      </c>
      <c r="E31" s="77">
        <v>194.23</v>
      </c>
      <c r="F31" s="77">
        <v>-94.23</v>
      </c>
      <c r="G31" s="77">
        <v>-1667066.52</v>
      </c>
      <c r="H31" s="74">
        <f>H14+H18+H22+H24+H25+H26+H27</f>
        <v>-899647.92539786024</v>
      </c>
    </row>
    <row r="32" spans="1:8" ht="15.75" thickTop="1" x14ac:dyDescent="0.25">
      <c r="A32" s="32" t="s">
        <v>12</v>
      </c>
      <c r="B32" s="32" t="s">
        <v>12</v>
      </c>
    </row>
    <row r="33" spans="1:8" x14ac:dyDescent="0.25">
      <c r="A33" s="32" t="s">
        <v>47</v>
      </c>
      <c r="B33" s="32" t="s">
        <v>48</v>
      </c>
      <c r="C33" s="75">
        <v>-71340.66</v>
      </c>
      <c r="D33" s="75">
        <v>-142681.19</v>
      </c>
      <c r="E33" s="75">
        <v>50</v>
      </c>
      <c r="F33" s="75">
        <v>50</v>
      </c>
      <c r="G33" s="75">
        <v>-71340.53</v>
      </c>
      <c r="H33" s="56">
        <f>H243</f>
        <v>-142681.26999999999</v>
      </c>
    </row>
    <row r="34" spans="1:8" x14ac:dyDescent="0.25">
      <c r="A34" s="32" t="s">
        <v>12</v>
      </c>
      <c r="B34" s="32" t="s">
        <v>12</v>
      </c>
    </row>
    <row r="35" spans="1:8" ht="15.75" thickBot="1" x14ac:dyDescent="0.3">
      <c r="A35" s="34" t="s">
        <v>12</v>
      </c>
      <c r="B35" s="34" t="s">
        <v>49</v>
      </c>
      <c r="C35" s="77">
        <v>737421.45</v>
      </c>
      <c r="D35" s="77">
        <v>-1000985.6</v>
      </c>
      <c r="E35" s="77">
        <v>173.67</v>
      </c>
      <c r="F35" s="77">
        <v>-73.67</v>
      </c>
      <c r="G35" s="77">
        <v>-1738407.05</v>
      </c>
      <c r="H35" s="74">
        <f>H31+H33</f>
        <v>-1042329.1953978603</v>
      </c>
    </row>
    <row r="36" spans="1:8" ht="15.75" thickTop="1" x14ac:dyDescent="0.25">
      <c r="A36" s="32" t="s">
        <v>12</v>
      </c>
      <c r="B36" s="32" t="s">
        <v>12</v>
      </c>
    </row>
    <row r="37" spans="1:8" x14ac:dyDescent="0.25">
      <c r="A37" s="33" t="s">
        <v>12</v>
      </c>
      <c r="B37" s="33" t="s">
        <v>50</v>
      </c>
      <c r="C37" s="76"/>
      <c r="D37" s="76"/>
      <c r="E37" s="76"/>
      <c r="F37" s="76"/>
      <c r="G37" s="76"/>
      <c r="H37" s="73"/>
    </row>
    <row r="38" spans="1:8" x14ac:dyDescent="0.25">
      <c r="A38" s="32" t="s">
        <v>12</v>
      </c>
      <c r="B38" s="32" t="s">
        <v>12</v>
      </c>
    </row>
    <row r="39" spans="1:8" x14ac:dyDescent="0.25">
      <c r="A39" s="33" t="s">
        <v>51</v>
      </c>
      <c r="B39" s="33" t="s">
        <v>52</v>
      </c>
      <c r="C39" s="76"/>
      <c r="D39" s="76"/>
      <c r="E39" s="76"/>
      <c r="F39" s="76"/>
      <c r="G39" s="76"/>
      <c r="H39" s="73"/>
    </row>
    <row r="40" spans="1:8" x14ac:dyDescent="0.25">
      <c r="A40" s="32" t="s">
        <v>53</v>
      </c>
      <c r="B40" s="32" t="s">
        <v>54</v>
      </c>
      <c r="C40" s="75">
        <v>4329773.8600000003</v>
      </c>
      <c r="D40" s="75">
        <v>8270231.8700000001</v>
      </c>
      <c r="E40" s="75">
        <v>47.65</v>
      </c>
      <c r="F40" s="75">
        <v>52.35</v>
      </c>
      <c r="G40" s="75">
        <v>3940458.01</v>
      </c>
      <c r="H40" s="56">
        <f>Taksameter!F9</f>
        <v>7175731.8085893895</v>
      </c>
    </row>
    <row r="41" spans="1:8" x14ac:dyDescent="0.25">
      <c r="A41" s="32" t="s">
        <v>55</v>
      </c>
      <c r="B41" s="32" t="s">
        <v>56</v>
      </c>
      <c r="C41" s="75">
        <v>9089.2900000000009</v>
      </c>
      <c r="D41" s="75">
        <v>540940</v>
      </c>
      <c r="E41" s="75">
        <v>98.32</v>
      </c>
      <c r="F41" s="75">
        <v>1.68</v>
      </c>
      <c r="G41" s="75">
        <v>531850.71</v>
      </c>
      <c r="H41" s="56">
        <f>Taksameter!F23</f>
        <v>166956.86701275015</v>
      </c>
    </row>
    <row r="42" spans="1:8" x14ac:dyDescent="0.25">
      <c r="A42" s="32" t="s">
        <v>57</v>
      </c>
      <c r="B42" s="32" t="s">
        <v>58</v>
      </c>
      <c r="C42" s="75">
        <v>16097.75</v>
      </c>
      <c r="G42" s="75">
        <v>-16097.75</v>
      </c>
    </row>
    <row r="43" spans="1:8" x14ac:dyDescent="0.25">
      <c r="A43" s="32" t="s">
        <v>59</v>
      </c>
      <c r="B43" s="32" t="s">
        <v>60</v>
      </c>
      <c r="C43" s="75">
        <v>1439.4</v>
      </c>
      <c r="D43" s="75">
        <v>12462.27</v>
      </c>
      <c r="E43" s="75">
        <v>88.45</v>
      </c>
      <c r="F43" s="75">
        <v>11.55</v>
      </c>
      <c r="G43" s="75">
        <v>11022.87</v>
      </c>
    </row>
    <row r="44" spans="1:8" x14ac:dyDescent="0.25">
      <c r="A44" s="32" t="s">
        <v>61</v>
      </c>
      <c r="B44" s="32" t="s">
        <v>62</v>
      </c>
      <c r="C44" s="75">
        <v>880710</v>
      </c>
      <c r="D44" s="75">
        <v>1761420</v>
      </c>
      <c r="E44" s="75">
        <v>50</v>
      </c>
      <c r="F44" s="75">
        <v>50</v>
      </c>
      <c r="G44" s="75">
        <v>880710</v>
      </c>
      <c r="H44" s="56">
        <v>1761420</v>
      </c>
    </row>
    <row r="45" spans="1:8" x14ac:dyDescent="0.25">
      <c r="A45" s="32" t="s">
        <v>63</v>
      </c>
      <c r="B45" s="32" t="s">
        <v>64</v>
      </c>
      <c r="C45" s="75">
        <v>184454.7</v>
      </c>
      <c r="D45" s="75">
        <v>90820</v>
      </c>
      <c r="E45" s="75">
        <v>-103.1</v>
      </c>
      <c r="F45" s="75">
        <v>203.1</v>
      </c>
      <c r="G45" s="75">
        <v>-93634.7</v>
      </c>
      <c r="H45" s="56">
        <f>C45+('[2]Øvrige tilskud'!F17*[2]Taksameter!F16)</f>
        <v>184454.7</v>
      </c>
    </row>
    <row r="46" spans="1:8" x14ac:dyDescent="0.25">
      <c r="A46" s="33" t="s">
        <v>65</v>
      </c>
      <c r="B46" s="33" t="s">
        <v>66</v>
      </c>
      <c r="C46" s="76">
        <v>5421565</v>
      </c>
      <c r="D46" s="76">
        <v>10675874.140000001</v>
      </c>
      <c r="E46" s="76">
        <v>49.22</v>
      </c>
      <c r="F46" s="76">
        <v>50.78</v>
      </c>
      <c r="G46" s="76">
        <v>5254309.1399999997</v>
      </c>
      <c r="H46" s="73">
        <f>SUM(H40:H45)</f>
        <v>9288563.3756021392</v>
      </c>
    </row>
    <row r="47" spans="1:8" x14ac:dyDescent="0.25">
      <c r="A47" s="32" t="s">
        <v>12</v>
      </c>
      <c r="B47" s="32" t="s">
        <v>12</v>
      </c>
    </row>
    <row r="48" spans="1:8" x14ac:dyDescent="0.25">
      <c r="A48" s="33" t="s">
        <v>67</v>
      </c>
      <c r="B48" s="33" t="s">
        <v>68</v>
      </c>
      <c r="C48" s="76"/>
      <c r="D48" s="76"/>
      <c r="E48" s="76"/>
      <c r="F48" s="76"/>
      <c r="G48" s="76"/>
      <c r="H48" s="73"/>
    </row>
    <row r="49" spans="1:8" x14ac:dyDescent="0.25">
      <c r="A49" s="32" t="s">
        <v>69</v>
      </c>
      <c r="B49" s="32" t="s">
        <v>70</v>
      </c>
    </row>
    <row r="50" spans="1:8" x14ac:dyDescent="0.25">
      <c r="A50" s="32" t="s">
        <v>71</v>
      </c>
      <c r="B50" s="32" t="s">
        <v>72</v>
      </c>
      <c r="C50" s="75">
        <v>12939.53</v>
      </c>
      <c r="G50" s="75">
        <v>-12939.53</v>
      </c>
      <c r="H50" s="56">
        <v>12939.53</v>
      </c>
    </row>
    <row r="51" spans="1:8" x14ac:dyDescent="0.25">
      <c r="A51" s="32" t="s">
        <v>73</v>
      </c>
      <c r="B51" s="32" t="s">
        <v>74</v>
      </c>
    </row>
    <row r="52" spans="1:8" x14ac:dyDescent="0.25">
      <c r="A52" s="32" t="s">
        <v>75</v>
      </c>
      <c r="B52" s="32" t="s">
        <v>76</v>
      </c>
    </row>
    <row r="53" spans="1:8" x14ac:dyDescent="0.25">
      <c r="A53" s="32" t="s">
        <v>77</v>
      </c>
      <c r="B53" s="32" t="s">
        <v>78</v>
      </c>
    </row>
    <row r="54" spans="1:8" x14ac:dyDescent="0.25">
      <c r="A54" s="32" t="s">
        <v>79</v>
      </c>
      <c r="B54" s="32" t="s">
        <v>80</v>
      </c>
    </row>
    <row r="55" spans="1:8" x14ac:dyDescent="0.25">
      <c r="A55" s="32" t="s">
        <v>81</v>
      </c>
      <c r="B55" s="32" t="s">
        <v>82</v>
      </c>
    </row>
    <row r="56" spans="1:8" x14ac:dyDescent="0.25">
      <c r="A56" s="32" t="s">
        <v>83</v>
      </c>
      <c r="B56" s="32" t="s">
        <v>84</v>
      </c>
      <c r="D56" s="75">
        <v>75000</v>
      </c>
      <c r="E56" s="75">
        <v>100</v>
      </c>
      <c r="G56" s="75">
        <v>75000</v>
      </c>
      <c r="H56" s="56">
        <v>75000</v>
      </c>
    </row>
    <row r="57" spans="1:8" x14ac:dyDescent="0.25">
      <c r="A57" s="32" t="s">
        <v>85</v>
      </c>
      <c r="B57" s="32" t="s">
        <v>86</v>
      </c>
    </row>
    <row r="58" spans="1:8" x14ac:dyDescent="0.25">
      <c r="A58" s="32" t="s">
        <v>87</v>
      </c>
      <c r="B58" s="32" t="s">
        <v>88</v>
      </c>
      <c r="D58" s="75">
        <v>77000</v>
      </c>
      <c r="E58" s="75">
        <v>100</v>
      </c>
      <c r="G58" s="75">
        <v>77000</v>
      </c>
      <c r="H58" s="56">
        <v>77000</v>
      </c>
    </row>
    <row r="59" spans="1:8" x14ac:dyDescent="0.25">
      <c r="A59" s="33" t="s">
        <v>89</v>
      </c>
      <c r="B59" s="33" t="s">
        <v>17</v>
      </c>
      <c r="C59" s="76">
        <v>12939.53</v>
      </c>
      <c r="D59" s="76">
        <v>152000</v>
      </c>
      <c r="E59" s="76">
        <v>91.49</v>
      </c>
      <c r="F59" s="76">
        <v>8.51</v>
      </c>
      <c r="G59" s="76">
        <v>139060.47</v>
      </c>
      <c r="H59" s="73">
        <f>SUM(H49:H58)</f>
        <v>164939.53</v>
      </c>
    </row>
    <row r="60" spans="1:8" x14ac:dyDescent="0.25">
      <c r="A60" s="32" t="s">
        <v>12</v>
      </c>
      <c r="B60" s="32" t="s">
        <v>12</v>
      </c>
    </row>
    <row r="61" spans="1:8" x14ac:dyDescent="0.25">
      <c r="A61" s="33" t="s">
        <v>90</v>
      </c>
      <c r="B61" s="33" t="s">
        <v>91</v>
      </c>
      <c r="C61" s="76"/>
      <c r="D61" s="76"/>
      <c r="E61" s="76"/>
      <c r="F61" s="76"/>
      <c r="G61" s="76"/>
      <c r="H61" s="73"/>
    </row>
    <row r="62" spans="1:8" x14ac:dyDescent="0.25">
      <c r="A62" s="32" t="s">
        <v>92</v>
      </c>
      <c r="B62" s="32" t="s">
        <v>93</v>
      </c>
      <c r="C62" s="75">
        <v>22758.05</v>
      </c>
      <c r="G62" s="75">
        <v>-22758.05</v>
      </c>
      <c r="H62" s="56">
        <f>C62</f>
        <v>22758.05</v>
      </c>
    </row>
    <row r="63" spans="1:8" x14ac:dyDescent="0.25">
      <c r="A63" s="33" t="s">
        <v>94</v>
      </c>
      <c r="B63" s="33" t="s">
        <v>95</v>
      </c>
      <c r="C63" s="76">
        <v>22758.05</v>
      </c>
      <c r="D63" s="76"/>
      <c r="E63" s="76"/>
      <c r="F63" s="76"/>
      <c r="G63" s="76">
        <v>-22758.05</v>
      </c>
      <c r="H63" s="73">
        <f>H62</f>
        <v>22758.05</v>
      </c>
    </row>
    <row r="64" spans="1:8" x14ac:dyDescent="0.25">
      <c r="A64" s="32" t="s">
        <v>12</v>
      </c>
      <c r="B64" s="32" t="s">
        <v>12</v>
      </c>
    </row>
    <row r="65" spans="1:8" x14ac:dyDescent="0.25">
      <c r="A65" s="33" t="s">
        <v>96</v>
      </c>
      <c r="B65" s="33" t="s">
        <v>97</v>
      </c>
      <c r="C65" s="76">
        <v>5457262.5800000001</v>
      </c>
      <c r="D65" s="76">
        <v>10827874.140000001</v>
      </c>
      <c r="E65" s="76">
        <v>49.6</v>
      </c>
      <c r="F65" s="76">
        <v>50.4</v>
      </c>
      <c r="G65" s="76">
        <v>5370611.5599999996</v>
      </c>
      <c r="H65" s="73">
        <f>H63+H59+H46</f>
        <v>9476260.9556021392</v>
      </c>
    </row>
    <row r="66" spans="1:8" x14ac:dyDescent="0.25">
      <c r="A66" s="32" t="s">
        <v>12</v>
      </c>
      <c r="B66" s="32" t="s">
        <v>12</v>
      </c>
    </row>
    <row r="67" spans="1:8" x14ac:dyDescent="0.25">
      <c r="A67" s="33" t="s">
        <v>98</v>
      </c>
      <c r="B67" s="33" t="s">
        <v>99</v>
      </c>
      <c r="C67" s="76"/>
      <c r="D67" s="76"/>
      <c r="E67" s="76"/>
      <c r="F67" s="76"/>
      <c r="G67" s="76"/>
      <c r="H67" s="73"/>
    </row>
    <row r="68" spans="1:8" x14ac:dyDescent="0.25">
      <c r="A68" s="32" t="s">
        <v>100</v>
      </c>
      <c r="B68" s="32" t="s">
        <v>101</v>
      </c>
    </row>
    <row r="69" spans="1:8" x14ac:dyDescent="0.25">
      <c r="A69" s="32" t="s">
        <v>102</v>
      </c>
      <c r="B69" s="32" t="s">
        <v>103</v>
      </c>
    </row>
    <row r="70" spans="1:8" x14ac:dyDescent="0.25">
      <c r="A70" s="33" t="s">
        <v>104</v>
      </c>
      <c r="B70" s="33" t="s">
        <v>105</v>
      </c>
      <c r="C70" s="76"/>
      <c r="D70" s="76"/>
      <c r="E70" s="76"/>
      <c r="F70" s="76"/>
      <c r="G70" s="76"/>
      <c r="H70" s="73"/>
    </row>
    <row r="71" spans="1:8" x14ac:dyDescent="0.25">
      <c r="A71" s="32" t="s">
        <v>12</v>
      </c>
      <c r="B71" s="32" t="s">
        <v>12</v>
      </c>
    </row>
    <row r="72" spans="1:8" x14ac:dyDescent="0.25">
      <c r="A72" s="33" t="s">
        <v>106</v>
      </c>
      <c r="B72" s="33" t="s">
        <v>107</v>
      </c>
      <c r="C72" s="76"/>
      <c r="D72" s="76"/>
      <c r="E72" s="76"/>
      <c r="F72" s="76"/>
      <c r="G72" s="76"/>
      <c r="H72" s="73"/>
    </row>
    <row r="73" spans="1:8" x14ac:dyDescent="0.25">
      <c r="A73" s="32" t="s">
        <v>108</v>
      </c>
      <c r="B73" s="32" t="s">
        <v>109</v>
      </c>
      <c r="C73" s="75">
        <v>-67991</v>
      </c>
      <c r="D73" s="75">
        <v>-140000</v>
      </c>
      <c r="E73" s="75">
        <v>51.44</v>
      </c>
      <c r="F73" s="75">
        <v>48.57</v>
      </c>
      <c r="G73" s="75">
        <v>-72009</v>
      </c>
      <c r="H73" s="56">
        <v>-140000</v>
      </c>
    </row>
    <row r="74" spans="1:8" x14ac:dyDescent="0.25">
      <c r="A74" s="32" t="s">
        <v>110</v>
      </c>
      <c r="B74" s="32" t="s">
        <v>111</v>
      </c>
      <c r="C74" s="75">
        <v>-12141.25</v>
      </c>
      <c r="G74" s="75">
        <v>12141.25</v>
      </c>
      <c r="H74" s="56">
        <v>-12141.25</v>
      </c>
    </row>
    <row r="75" spans="1:8" x14ac:dyDescent="0.25">
      <c r="A75" s="32" t="s">
        <v>112</v>
      </c>
      <c r="B75" s="32" t="s">
        <v>113</v>
      </c>
      <c r="C75" s="75">
        <v>-9713</v>
      </c>
      <c r="G75" s="75">
        <v>9713</v>
      </c>
      <c r="H75" s="56">
        <v>-9713</v>
      </c>
    </row>
    <row r="76" spans="1:8" x14ac:dyDescent="0.25">
      <c r="A76" s="32" t="s">
        <v>114</v>
      </c>
      <c r="B76" s="32" t="s">
        <v>115</v>
      </c>
      <c r="C76" s="75">
        <v>-708</v>
      </c>
      <c r="D76" s="75">
        <v>-5000</v>
      </c>
      <c r="E76" s="75">
        <v>85.84</v>
      </c>
      <c r="F76" s="75">
        <v>14.16</v>
      </c>
      <c r="G76" s="75">
        <v>-4292</v>
      </c>
      <c r="H76" s="56">
        <v>-5000</v>
      </c>
    </row>
    <row r="77" spans="1:8" x14ac:dyDescent="0.25">
      <c r="A77" s="33" t="s">
        <v>116</v>
      </c>
      <c r="B77" s="33" t="s">
        <v>117</v>
      </c>
      <c r="C77" s="76">
        <v>-90553.25</v>
      </c>
      <c r="D77" s="76">
        <v>-145000</v>
      </c>
      <c r="E77" s="76">
        <v>37.549999999999997</v>
      </c>
      <c r="F77" s="76">
        <v>62.45</v>
      </c>
      <c r="G77" s="76">
        <v>-54446.75</v>
      </c>
      <c r="H77" s="73">
        <f>SUM(H73:H76)</f>
        <v>-166854.25</v>
      </c>
    </row>
    <row r="78" spans="1:8" x14ac:dyDescent="0.25">
      <c r="A78" s="32" t="s">
        <v>12</v>
      </c>
      <c r="B78" s="32" t="s">
        <v>12</v>
      </c>
    </row>
    <row r="79" spans="1:8" x14ac:dyDescent="0.25">
      <c r="A79" s="33" t="s">
        <v>118</v>
      </c>
      <c r="B79" s="33" t="s">
        <v>119</v>
      </c>
      <c r="C79" s="76"/>
      <c r="D79" s="76"/>
      <c r="E79" s="76"/>
      <c r="F79" s="76"/>
      <c r="G79" s="76"/>
      <c r="H79" s="73"/>
    </row>
    <row r="80" spans="1:8" x14ac:dyDescent="0.25">
      <c r="A80" s="32" t="s">
        <v>120</v>
      </c>
      <c r="B80" s="32" t="s">
        <v>121</v>
      </c>
    </row>
    <row r="81" spans="1:8" x14ac:dyDescent="0.25">
      <c r="A81" s="32" t="s">
        <v>122</v>
      </c>
      <c r="B81" s="32" t="s">
        <v>123</v>
      </c>
    </row>
    <row r="82" spans="1:8" x14ac:dyDescent="0.25">
      <c r="A82" s="33" t="s">
        <v>124</v>
      </c>
      <c r="B82" s="33" t="s">
        <v>125</v>
      </c>
      <c r="C82" s="76"/>
      <c r="D82" s="76"/>
      <c r="E82" s="76"/>
      <c r="F82" s="76"/>
      <c r="G82" s="76"/>
      <c r="H82" s="73">
        <f>H80+H81</f>
        <v>0</v>
      </c>
    </row>
    <row r="83" spans="1:8" x14ac:dyDescent="0.25">
      <c r="A83" s="32" t="s">
        <v>12</v>
      </c>
      <c r="B83" s="32" t="s">
        <v>12</v>
      </c>
    </row>
    <row r="84" spans="1:8" x14ac:dyDescent="0.25">
      <c r="A84" s="33" t="s">
        <v>126</v>
      </c>
      <c r="B84" s="33" t="s">
        <v>30</v>
      </c>
      <c r="C84" s="76"/>
      <c r="D84" s="76"/>
      <c r="E84" s="76"/>
      <c r="F84" s="76"/>
      <c r="G84" s="76"/>
      <c r="H84" s="73"/>
    </row>
    <row r="85" spans="1:8" x14ac:dyDescent="0.25">
      <c r="A85" s="32" t="s">
        <v>127</v>
      </c>
      <c r="B85" s="32" t="s">
        <v>128</v>
      </c>
    </row>
    <row r="86" spans="1:8" x14ac:dyDescent="0.25">
      <c r="A86" s="32" t="s">
        <v>129</v>
      </c>
      <c r="B86" s="32" t="s">
        <v>130</v>
      </c>
      <c r="D86" s="75">
        <v>-64584</v>
      </c>
      <c r="E86" s="75">
        <v>100</v>
      </c>
      <c r="G86" s="75">
        <v>-64584</v>
      </c>
      <c r="H86" s="56">
        <v>0</v>
      </c>
    </row>
    <row r="87" spans="1:8" x14ac:dyDescent="0.25">
      <c r="A87" s="32" t="s">
        <v>131</v>
      </c>
      <c r="B87" s="32" t="s">
        <v>132</v>
      </c>
    </row>
    <row r="88" spans="1:8" x14ac:dyDescent="0.25">
      <c r="A88" s="32" t="s">
        <v>133</v>
      </c>
      <c r="B88" s="32" t="s">
        <v>134</v>
      </c>
      <c r="C88" s="75">
        <v>-1748.84</v>
      </c>
      <c r="G88" s="75">
        <v>1748.84</v>
      </c>
      <c r="H88" s="56">
        <v>-1748.84</v>
      </c>
    </row>
    <row r="89" spans="1:8" x14ac:dyDescent="0.25">
      <c r="A89" s="32" t="s">
        <v>135</v>
      </c>
      <c r="B89" s="32" t="s">
        <v>136</v>
      </c>
      <c r="C89" s="75">
        <v>1748.84</v>
      </c>
      <c r="G89" s="75">
        <v>-1748.84</v>
      </c>
      <c r="H89" s="56">
        <v>1748.84</v>
      </c>
    </row>
    <row r="90" spans="1:8" x14ac:dyDescent="0.25">
      <c r="A90" s="32" t="s">
        <v>137</v>
      </c>
      <c r="B90" s="32" t="s">
        <v>138</v>
      </c>
      <c r="C90" s="75">
        <v>-3406703.37</v>
      </c>
      <c r="D90" s="75">
        <v>-6958112.6399999997</v>
      </c>
      <c r="E90" s="75">
        <v>51.04</v>
      </c>
      <c r="F90" s="75">
        <v>48.96</v>
      </c>
      <c r="G90" s="75">
        <v>-3551409.27</v>
      </c>
      <c r="H90" s="56">
        <f>-6116496.04-90393</f>
        <v>-6206889.04</v>
      </c>
    </row>
    <row r="91" spans="1:8" x14ac:dyDescent="0.25">
      <c r="A91" s="32" t="s">
        <v>139</v>
      </c>
      <c r="B91" s="32" t="s">
        <v>140</v>
      </c>
    </row>
    <row r="92" spans="1:8" x14ac:dyDescent="0.25">
      <c r="A92" s="32" t="s">
        <v>141</v>
      </c>
      <c r="B92" s="32" t="s">
        <v>142</v>
      </c>
    </row>
    <row r="93" spans="1:8" x14ac:dyDescent="0.25">
      <c r="A93" s="32" t="s">
        <v>143</v>
      </c>
      <c r="B93" s="32" t="s">
        <v>144</v>
      </c>
    </row>
    <row r="94" spans="1:8" x14ac:dyDescent="0.25">
      <c r="A94" s="32" t="s">
        <v>145</v>
      </c>
      <c r="B94" s="32" t="s">
        <v>146</v>
      </c>
      <c r="C94" s="75">
        <v>2161.1999999999998</v>
      </c>
      <c r="G94" s="75">
        <v>-2161.1999999999998</v>
      </c>
      <c r="H94" s="56">
        <v>2161.1999999999998</v>
      </c>
    </row>
    <row r="95" spans="1:8" x14ac:dyDescent="0.25">
      <c r="A95" s="32" t="s">
        <v>147</v>
      </c>
      <c r="B95" s="32" t="s">
        <v>148</v>
      </c>
      <c r="C95" s="75">
        <v>-12969.53</v>
      </c>
      <c r="G95" s="75">
        <v>12969.53</v>
      </c>
      <c r="H95" s="56">
        <v>-12969.53</v>
      </c>
    </row>
    <row r="96" spans="1:8" x14ac:dyDescent="0.25">
      <c r="A96" s="32" t="s">
        <v>149</v>
      </c>
      <c r="B96" s="32" t="s">
        <v>150</v>
      </c>
    </row>
    <row r="97" spans="1:8" x14ac:dyDescent="0.25">
      <c r="A97" s="32" t="s">
        <v>151</v>
      </c>
      <c r="B97" s="32" t="s">
        <v>152</v>
      </c>
    </row>
    <row r="98" spans="1:8" x14ac:dyDescent="0.25">
      <c r="A98" s="32" t="s">
        <v>153</v>
      </c>
      <c r="B98" s="32" t="s">
        <v>154</v>
      </c>
    </row>
    <row r="99" spans="1:8" x14ac:dyDescent="0.25">
      <c r="A99" s="32" t="s">
        <v>155</v>
      </c>
      <c r="B99" s="32" t="s">
        <v>156</v>
      </c>
    </row>
    <row r="100" spans="1:8" x14ac:dyDescent="0.25">
      <c r="A100" s="32" t="s">
        <v>157</v>
      </c>
      <c r="B100" s="32" t="s">
        <v>158</v>
      </c>
    </row>
    <row r="101" spans="1:8" x14ac:dyDescent="0.25">
      <c r="A101" s="32" t="s">
        <v>159</v>
      </c>
      <c r="B101" s="32" t="s">
        <v>160</v>
      </c>
    </row>
    <row r="102" spans="1:8" x14ac:dyDescent="0.25">
      <c r="A102" s="32" t="s">
        <v>161</v>
      </c>
      <c r="B102" s="32" t="s">
        <v>162</v>
      </c>
    </row>
    <row r="103" spans="1:8" x14ac:dyDescent="0.25">
      <c r="A103" s="32" t="s">
        <v>163</v>
      </c>
      <c r="B103" s="32" t="s">
        <v>164</v>
      </c>
    </row>
    <row r="104" spans="1:8" x14ac:dyDescent="0.25">
      <c r="A104" s="32" t="s">
        <v>165</v>
      </c>
      <c r="B104" s="32" t="s">
        <v>166</v>
      </c>
    </row>
    <row r="105" spans="1:8" x14ac:dyDescent="0.25">
      <c r="A105" s="32" t="s">
        <v>167</v>
      </c>
      <c r="B105" s="32" t="s">
        <v>168</v>
      </c>
    </row>
    <row r="106" spans="1:8" x14ac:dyDescent="0.25">
      <c r="A106" s="32" t="s">
        <v>169</v>
      </c>
      <c r="B106" s="32" t="s">
        <v>170</v>
      </c>
      <c r="C106" s="75">
        <v>173353.96</v>
      </c>
      <c r="G106" s="75">
        <v>-173353.96</v>
      </c>
      <c r="H106" s="56">
        <f>130015.47+43338.49</f>
        <v>173353.96</v>
      </c>
    </row>
    <row r="107" spans="1:8" x14ac:dyDescent="0.25">
      <c r="A107" s="33" t="s">
        <v>171</v>
      </c>
      <c r="B107" s="33" t="s">
        <v>172</v>
      </c>
      <c r="C107" s="76">
        <v>-3244157.74</v>
      </c>
      <c r="D107" s="76">
        <v>-7022696.6399999997</v>
      </c>
      <c r="E107" s="76">
        <v>53.8</v>
      </c>
      <c r="F107" s="76">
        <v>46.2</v>
      </c>
      <c r="G107" s="76">
        <v>-3778538.9</v>
      </c>
      <c r="H107" s="73">
        <f>SUM(H85:H106)</f>
        <v>-6044343.4100000001</v>
      </c>
    </row>
    <row r="108" spans="1:8" x14ac:dyDescent="0.25">
      <c r="A108" s="32" t="s">
        <v>12</v>
      </c>
      <c r="B108" s="32" t="s">
        <v>12</v>
      </c>
    </row>
    <row r="109" spans="1:8" x14ac:dyDescent="0.25">
      <c r="A109" s="33" t="s">
        <v>173</v>
      </c>
      <c r="B109" s="33" t="s">
        <v>174</v>
      </c>
      <c r="C109" s="76"/>
      <c r="D109" s="76"/>
      <c r="E109" s="76"/>
      <c r="F109" s="76"/>
      <c r="G109" s="76"/>
      <c r="H109" s="73"/>
    </row>
    <row r="110" spans="1:8" x14ac:dyDescent="0.25">
      <c r="A110" s="32" t="s">
        <v>175</v>
      </c>
      <c r="B110" s="32" t="s">
        <v>174</v>
      </c>
      <c r="C110" s="75">
        <v>-569619.12</v>
      </c>
      <c r="D110" s="75">
        <v>-1383445.38</v>
      </c>
      <c r="E110" s="75">
        <v>58.83</v>
      </c>
      <c r="F110" s="75">
        <v>41.17</v>
      </c>
      <c r="G110" s="75">
        <v>-813826.26</v>
      </c>
      <c r="H110" s="56">
        <v>-1279508.8500000001</v>
      </c>
    </row>
    <row r="111" spans="1:8" x14ac:dyDescent="0.25">
      <c r="A111" s="32" t="s">
        <v>176</v>
      </c>
      <c r="B111" s="32" t="s">
        <v>177</v>
      </c>
    </row>
    <row r="112" spans="1:8" x14ac:dyDescent="0.25">
      <c r="A112" s="33" t="s">
        <v>178</v>
      </c>
      <c r="B112" s="33" t="s">
        <v>179</v>
      </c>
      <c r="C112" s="76">
        <v>-569619.12</v>
      </c>
      <c r="D112" s="76">
        <v>-1383445.38</v>
      </c>
      <c r="E112" s="76">
        <v>58.83</v>
      </c>
      <c r="F112" s="76">
        <v>41.17</v>
      </c>
      <c r="G112" s="76">
        <v>-813826.26</v>
      </c>
      <c r="H112" s="73">
        <f>H110+H111</f>
        <v>-1279508.8500000001</v>
      </c>
    </row>
    <row r="113" spans="1:8" x14ac:dyDescent="0.25">
      <c r="A113" s="32" t="s">
        <v>12</v>
      </c>
      <c r="B113" s="32" t="s">
        <v>12</v>
      </c>
    </row>
    <row r="114" spans="1:8" x14ac:dyDescent="0.25">
      <c r="A114" s="33" t="s">
        <v>180</v>
      </c>
      <c r="B114" s="33" t="s">
        <v>181</v>
      </c>
      <c r="C114" s="76"/>
      <c r="D114" s="76"/>
      <c r="E114" s="76"/>
      <c r="F114" s="76"/>
      <c r="G114" s="76"/>
      <c r="H114" s="73"/>
    </row>
    <row r="115" spans="1:8" x14ac:dyDescent="0.25">
      <c r="A115" s="32" t="s">
        <v>182</v>
      </c>
      <c r="B115" s="32" t="s">
        <v>183</v>
      </c>
      <c r="C115" s="75">
        <v>91785.13</v>
      </c>
      <c r="D115" s="75">
        <v>163797</v>
      </c>
      <c r="E115" s="75">
        <v>43.96</v>
      </c>
      <c r="F115" s="75">
        <v>56.04</v>
      </c>
      <c r="G115" s="75">
        <v>72011.87</v>
      </c>
      <c r="H115" s="56">
        <f>C115*2</f>
        <v>183570.26</v>
      </c>
    </row>
    <row r="116" spans="1:8" x14ac:dyDescent="0.25">
      <c r="A116" s="32" t="s">
        <v>184</v>
      </c>
      <c r="B116" s="32" t="s">
        <v>185</v>
      </c>
      <c r="C116" s="75">
        <v>153686</v>
      </c>
      <c r="G116" s="75">
        <v>-153686</v>
      </c>
      <c r="H116" s="56">
        <f>C116</f>
        <v>153686</v>
      </c>
    </row>
    <row r="117" spans="1:8" x14ac:dyDescent="0.25">
      <c r="A117" s="32" t="s">
        <v>186</v>
      </c>
      <c r="B117" s="32" t="s">
        <v>187</v>
      </c>
    </row>
    <row r="118" spans="1:8" x14ac:dyDescent="0.25">
      <c r="A118" s="32" t="s">
        <v>188</v>
      </c>
      <c r="B118" s="32" t="s">
        <v>189</v>
      </c>
    </row>
    <row r="119" spans="1:8" x14ac:dyDescent="0.25">
      <c r="A119" s="32" t="s">
        <v>190</v>
      </c>
      <c r="B119" s="32" t="s">
        <v>191</v>
      </c>
    </row>
    <row r="120" spans="1:8" x14ac:dyDescent="0.25">
      <c r="A120" s="32" t="s">
        <v>192</v>
      </c>
      <c r="B120" s="32" t="s">
        <v>193</v>
      </c>
    </row>
    <row r="121" spans="1:8" x14ac:dyDescent="0.25">
      <c r="A121" s="32" t="s">
        <v>194</v>
      </c>
      <c r="B121" s="32" t="s">
        <v>195</v>
      </c>
    </row>
    <row r="122" spans="1:8" x14ac:dyDescent="0.25">
      <c r="A122" s="33" t="s">
        <v>196</v>
      </c>
      <c r="B122" s="33" t="s">
        <v>197</v>
      </c>
      <c r="C122" s="76">
        <v>245471.13</v>
      </c>
      <c r="D122" s="76">
        <v>163797</v>
      </c>
      <c r="E122" s="76">
        <v>-49.86</v>
      </c>
      <c r="F122" s="76">
        <v>149.86000000000001</v>
      </c>
      <c r="G122" s="76">
        <v>-81674.13</v>
      </c>
      <c r="H122" s="73">
        <f>SUM(H115:H121)</f>
        <v>337256.26</v>
      </c>
    </row>
    <row r="123" spans="1:8" x14ac:dyDescent="0.25">
      <c r="A123" s="33" t="s">
        <v>198</v>
      </c>
      <c r="B123" s="33" t="s">
        <v>199</v>
      </c>
      <c r="C123" s="76">
        <v>-3568305.73</v>
      </c>
      <c r="D123" s="76">
        <v>-8242345.0199999996</v>
      </c>
      <c r="E123" s="76">
        <v>56.71</v>
      </c>
      <c r="F123" s="76">
        <v>43.29</v>
      </c>
      <c r="G123" s="76">
        <v>-4674039.29</v>
      </c>
      <c r="H123" s="73">
        <f>H122+H112+H107</f>
        <v>-6986596</v>
      </c>
    </row>
    <row r="124" spans="1:8" x14ac:dyDescent="0.25">
      <c r="A124" s="32" t="s">
        <v>12</v>
      </c>
      <c r="B124" s="32" t="s">
        <v>12</v>
      </c>
    </row>
    <row r="125" spans="1:8" x14ac:dyDescent="0.25">
      <c r="A125" s="33" t="s">
        <v>200</v>
      </c>
      <c r="B125" s="33" t="s">
        <v>201</v>
      </c>
      <c r="C125" s="76">
        <v>-3658858.98</v>
      </c>
      <c r="D125" s="76">
        <v>-8387345.0199999996</v>
      </c>
      <c r="E125" s="76">
        <v>56.38</v>
      </c>
      <c r="F125" s="76">
        <v>43.62</v>
      </c>
      <c r="G125" s="76">
        <v>-4728486.04</v>
      </c>
      <c r="H125" s="73">
        <f>H123+H82+H77</f>
        <v>-7153450.25</v>
      </c>
    </row>
    <row r="126" spans="1:8" x14ac:dyDescent="0.25">
      <c r="A126" s="32" t="s">
        <v>12</v>
      </c>
      <c r="B126" s="32" t="s">
        <v>12</v>
      </c>
    </row>
    <row r="127" spans="1:8" x14ac:dyDescent="0.25">
      <c r="A127" s="33" t="s">
        <v>202</v>
      </c>
      <c r="B127" s="33" t="s">
        <v>203</v>
      </c>
      <c r="C127" s="76">
        <v>1798403.6</v>
      </c>
      <c r="D127" s="76">
        <v>2440529.12</v>
      </c>
      <c r="E127" s="76">
        <v>26.31</v>
      </c>
      <c r="F127" s="76">
        <v>73.69</v>
      </c>
      <c r="G127" s="76">
        <v>642125.52</v>
      </c>
      <c r="H127" s="73">
        <f>H125+H65</f>
        <v>2322810.7056021392</v>
      </c>
    </row>
    <row r="128" spans="1:8" x14ac:dyDescent="0.25">
      <c r="A128" s="32" t="s">
        <v>12</v>
      </c>
      <c r="B128" s="32" t="s">
        <v>12</v>
      </c>
    </row>
    <row r="129" spans="1:8" x14ac:dyDescent="0.25">
      <c r="A129" s="33" t="s">
        <v>204</v>
      </c>
      <c r="B129" s="33" t="s">
        <v>205</v>
      </c>
      <c r="C129" s="76"/>
      <c r="D129" s="76"/>
      <c r="E129" s="76"/>
      <c r="F129" s="76"/>
      <c r="G129" s="76"/>
      <c r="H129" s="73"/>
    </row>
    <row r="130" spans="1:8" x14ac:dyDescent="0.25">
      <c r="A130" s="32" t="s">
        <v>206</v>
      </c>
      <c r="B130" s="32" t="s">
        <v>207</v>
      </c>
      <c r="C130" s="75">
        <v>4235</v>
      </c>
      <c r="D130" s="75">
        <v>50000</v>
      </c>
      <c r="E130" s="75">
        <v>91.53</v>
      </c>
      <c r="F130" s="75">
        <v>8.4700000000000006</v>
      </c>
      <c r="G130" s="75">
        <v>45765</v>
      </c>
      <c r="H130" s="56">
        <v>50000</v>
      </c>
    </row>
    <row r="131" spans="1:8" x14ac:dyDescent="0.25">
      <c r="A131" s="32" t="s">
        <v>208</v>
      </c>
      <c r="B131" s="32" t="s">
        <v>209</v>
      </c>
      <c r="C131" s="75">
        <v>6748.84</v>
      </c>
      <c r="G131" s="75">
        <v>-6748.84</v>
      </c>
      <c r="H131" s="56">
        <v>6748.84</v>
      </c>
    </row>
    <row r="132" spans="1:8" x14ac:dyDescent="0.25">
      <c r="A132" s="32" t="s">
        <v>210</v>
      </c>
      <c r="B132" s="32" t="s">
        <v>211</v>
      </c>
    </row>
    <row r="133" spans="1:8" x14ac:dyDescent="0.25">
      <c r="A133" s="32" t="s">
        <v>212</v>
      </c>
      <c r="B133" s="32" t="s">
        <v>213</v>
      </c>
    </row>
    <row r="134" spans="1:8" x14ac:dyDescent="0.25">
      <c r="A134" s="32" t="s">
        <v>214</v>
      </c>
      <c r="B134" s="32" t="s">
        <v>215</v>
      </c>
    </row>
    <row r="135" spans="1:8" x14ac:dyDescent="0.25">
      <c r="A135" s="32" t="s">
        <v>216</v>
      </c>
      <c r="B135" s="32" t="s">
        <v>217</v>
      </c>
    </row>
    <row r="136" spans="1:8" x14ac:dyDescent="0.25">
      <c r="A136" s="33" t="s">
        <v>218</v>
      </c>
      <c r="B136" s="33" t="s">
        <v>219</v>
      </c>
      <c r="C136" s="76">
        <v>10983.84</v>
      </c>
      <c r="D136" s="76">
        <v>50000</v>
      </c>
      <c r="E136" s="76">
        <v>78.03</v>
      </c>
      <c r="F136" s="76">
        <v>21.97</v>
      </c>
      <c r="G136" s="76">
        <v>39016.160000000003</v>
      </c>
      <c r="H136" s="73">
        <f>SUM(H130:H135)</f>
        <v>56748.84</v>
      </c>
    </row>
    <row r="137" spans="1:8" x14ac:dyDescent="0.25">
      <c r="A137" s="32" t="s">
        <v>12</v>
      </c>
      <c r="B137" s="32" t="s">
        <v>12</v>
      </c>
    </row>
    <row r="138" spans="1:8" x14ac:dyDescent="0.25">
      <c r="A138" s="33" t="s">
        <v>220</v>
      </c>
      <c r="B138" s="33" t="s">
        <v>221</v>
      </c>
      <c r="C138" s="76"/>
      <c r="D138" s="76"/>
      <c r="E138" s="76"/>
      <c r="F138" s="76"/>
      <c r="G138" s="76"/>
      <c r="H138" s="73"/>
    </row>
    <row r="139" spans="1:8" x14ac:dyDescent="0.25">
      <c r="A139" s="32" t="s">
        <v>222</v>
      </c>
      <c r="B139" s="32" t="s">
        <v>223</v>
      </c>
    </row>
    <row r="140" spans="1:8" x14ac:dyDescent="0.25">
      <c r="A140" s="32" t="s">
        <v>224</v>
      </c>
      <c r="B140" s="32" t="s">
        <v>225</v>
      </c>
    </row>
    <row r="141" spans="1:8" x14ac:dyDescent="0.25">
      <c r="A141" s="32" t="s">
        <v>226</v>
      </c>
      <c r="B141" s="32" t="s">
        <v>227</v>
      </c>
      <c r="C141" s="75">
        <v>-544230.37</v>
      </c>
      <c r="D141" s="75">
        <v>-588941.19999999995</v>
      </c>
      <c r="E141" s="75">
        <v>7.59</v>
      </c>
      <c r="F141" s="75">
        <v>92.41</v>
      </c>
      <c r="G141" s="75">
        <v>-44710.83</v>
      </c>
      <c r="H141" s="56">
        <f>'Fælles adm.'!H142*-1*0.15</f>
        <v>-1496131.4909999997</v>
      </c>
    </row>
    <row r="142" spans="1:8" x14ac:dyDescent="0.25">
      <c r="A142" s="32" t="s">
        <v>228</v>
      </c>
      <c r="B142" s="32" t="s">
        <v>229</v>
      </c>
    </row>
    <row r="143" spans="1:8" x14ac:dyDescent="0.25">
      <c r="A143" s="32" t="s">
        <v>230</v>
      </c>
      <c r="B143" s="32" t="s">
        <v>231</v>
      </c>
    </row>
    <row r="144" spans="1:8" x14ac:dyDescent="0.25">
      <c r="A144" s="32" t="s">
        <v>232</v>
      </c>
      <c r="B144" s="32" t="s">
        <v>233</v>
      </c>
      <c r="C144" s="75">
        <v>-3309.48</v>
      </c>
      <c r="D144" s="75">
        <v>-24000</v>
      </c>
      <c r="E144" s="75">
        <v>86.21</v>
      </c>
      <c r="F144" s="75">
        <v>13.79</v>
      </c>
      <c r="G144" s="75">
        <v>-20690.52</v>
      </c>
      <c r="H144" s="56">
        <v>-24000</v>
      </c>
    </row>
    <row r="145" spans="1:8" x14ac:dyDescent="0.25">
      <c r="A145" s="32" t="s">
        <v>234</v>
      </c>
      <c r="B145" s="32" t="s">
        <v>235</v>
      </c>
      <c r="D145" s="75">
        <v>-5000</v>
      </c>
      <c r="E145" s="75">
        <v>100</v>
      </c>
      <c r="G145" s="75">
        <v>-5000</v>
      </c>
      <c r="H145" s="56">
        <v>-5000</v>
      </c>
    </row>
    <row r="146" spans="1:8" x14ac:dyDescent="0.25">
      <c r="A146" s="32" t="s">
        <v>236</v>
      </c>
      <c r="B146" s="32" t="s">
        <v>237</v>
      </c>
      <c r="D146" s="75">
        <v>-5000</v>
      </c>
      <c r="E146" s="75">
        <v>100</v>
      </c>
      <c r="G146" s="75">
        <v>-5000</v>
      </c>
      <c r="H146" s="56">
        <v>-5000</v>
      </c>
    </row>
    <row r="147" spans="1:8" x14ac:dyDescent="0.25">
      <c r="A147" s="32" t="s">
        <v>238</v>
      </c>
      <c r="B147" s="32" t="s">
        <v>239</v>
      </c>
      <c r="C147" s="75">
        <v>-5768.48</v>
      </c>
      <c r="D147" s="75">
        <v>-4000</v>
      </c>
      <c r="E147" s="75">
        <v>-44.21</v>
      </c>
      <c r="F147" s="75">
        <v>144.21</v>
      </c>
      <c r="G147" s="75">
        <v>1768.48</v>
      </c>
      <c r="H147" s="56">
        <f>C147</f>
        <v>-5768.48</v>
      </c>
    </row>
    <row r="148" spans="1:8" x14ac:dyDescent="0.25">
      <c r="A148" s="32" t="s">
        <v>240</v>
      </c>
      <c r="B148" s="32" t="s">
        <v>241</v>
      </c>
      <c r="C148" s="75">
        <v>-3477.4</v>
      </c>
      <c r="G148" s="75">
        <v>3477.4</v>
      </c>
      <c r="H148" s="56">
        <f>C148</f>
        <v>-3477.4</v>
      </c>
    </row>
    <row r="149" spans="1:8" x14ac:dyDescent="0.25">
      <c r="A149" s="32" t="s">
        <v>242</v>
      </c>
      <c r="B149" s="32" t="s">
        <v>243</v>
      </c>
      <c r="C149" s="75">
        <v>-600</v>
      </c>
      <c r="D149" s="75">
        <v>-10000</v>
      </c>
      <c r="E149" s="75">
        <v>94</v>
      </c>
      <c r="F149" s="75">
        <v>6</v>
      </c>
      <c r="G149" s="75">
        <v>-9400</v>
      </c>
      <c r="H149" s="56">
        <v>-10000</v>
      </c>
    </row>
    <row r="150" spans="1:8" x14ac:dyDescent="0.25">
      <c r="A150" s="32" t="s">
        <v>244</v>
      </c>
      <c r="B150" s="32" t="s">
        <v>245</v>
      </c>
      <c r="C150" s="75">
        <v>-4915.7</v>
      </c>
      <c r="D150" s="75">
        <v>-10000</v>
      </c>
      <c r="E150" s="75">
        <v>50.84</v>
      </c>
      <c r="F150" s="75">
        <v>49.16</v>
      </c>
      <c r="G150" s="75">
        <v>-5084.3</v>
      </c>
      <c r="H150" s="56">
        <v>-10000</v>
      </c>
    </row>
    <row r="151" spans="1:8" x14ac:dyDescent="0.25">
      <c r="A151" s="32" t="s">
        <v>246</v>
      </c>
      <c r="B151" s="32" t="s">
        <v>247</v>
      </c>
      <c r="C151" s="75">
        <v>-2833.33</v>
      </c>
      <c r="D151" s="75">
        <v>-870000</v>
      </c>
      <c r="E151" s="75">
        <v>99.67</v>
      </c>
      <c r="F151" s="75">
        <v>0.33</v>
      </c>
      <c r="G151" s="75">
        <v>-867166.67</v>
      </c>
      <c r="H151" s="56">
        <f>-870000+850000</f>
        <v>-20000</v>
      </c>
    </row>
    <row r="152" spans="1:8" x14ac:dyDescent="0.25">
      <c r="A152" s="32" t="s">
        <v>248</v>
      </c>
      <c r="B152" s="32" t="s">
        <v>249</v>
      </c>
      <c r="C152" s="75">
        <v>-2710.49</v>
      </c>
      <c r="D152" s="75">
        <v>-50000</v>
      </c>
      <c r="E152" s="75">
        <v>94.58</v>
      </c>
      <c r="F152" s="75">
        <v>5.42</v>
      </c>
      <c r="G152" s="75">
        <v>-47289.51</v>
      </c>
      <c r="H152" s="56">
        <v>-50000</v>
      </c>
    </row>
    <row r="153" spans="1:8" x14ac:dyDescent="0.25">
      <c r="A153" s="32" t="s">
        <v>250</v>
      </c>
      <c r="B153" s="32" t="s">
        <v>251</v>
      </c>
    </row>
    <row r="154" spans="1:8" x14ac:dyDescent="0.25">
      <c r="A154" s="32" t="s">
        <v>252</v>
      </c>
      <c r="B154" s="32" t="s">
        <v>253</v>
      </c>
      <c r="C154" s="75">
        <v>-267.3</v>
      </c>
      <c r="G154" s="75">
        <v>267.3</v>
      </c>
      <c r="H154" s="56">
        <v>-267.3</v>
      </c>
    </row>
    <row r="155" spans="1:8" x14ac:dyDescent="0.25">
      <c r="A155" s="32" t="s">
        <v>254</v>
      </c>
      <c r="B155" s="32" t="s">
        <v>255</v>
      </c>
      <c r="C155" s="75">
        <v>-13340</v>
      </c>
      <c r="D155" s="75">
        <v>-25000</v>
      </c>
      <c r="E155" s="75">
        <v>46.64</v>
      </c>
      <c r="F155" s="75">
        <v>53.36</v>
      </c>
      <c r="G155" s="75">
        <v>-11660</v>
      </c>
      <c r="H155" s="56">
        <v>-25000</v>
      </c>
    </row>
    <row r="156" spans="1:8" x14ac:dyDescent="0.25">
      <c r="A156" s="32" t="s">
        <v>256</v>
      </c>
      <c r="B156" s="32" t="s">
        <v>257</v>
      </c>
      <c r="D156" s="75">
        <v>-8733.33</v>
      </c>
      <c r="E156" s="75">
        <v>100</v>
      </c>
      <c r="G156" s="75">
        <v>-8733.33</v>
      </c>
      <c r="H156" s="56">
        <v>-8733.33</v>
      </c>
    </row>
    <row r="157" spans="1:8" x14ac:dyDescent="0.25">
      <c r="A157" s="32" t="s">
        <v>258</v>
      </c>
      <c r="B157" s="32" t="s">
        <v>259</v>
      </c>
    </row>
    <row r="158" spans="1:8" x14ac:dyDescent="0.25">
      <c r="A158" s="32" t="s">
        <v>260</v>
      </c>
      <c r="B158" s="32" t="s">
        <v>261</v>
      </c>
      <c r="D158" s="75">
        <v>-106559</v>
      </c>
      <c r="E158" s="75">
        <v>100</v>
      </c>
      <c r="G158" s="75">
        <v>-106559</v>
      </c>
      <c r="H158" s="56">
        <v>0</v>
      </c>
    </row>
    <row r="159" spans="1:8" x14ac:dyDescent="0.25">
      <c r="A159" s="32" t="s">
        <v>262</v>
      </c>
      <c r="B159" s="32" t="s">
        <v>263</v>
      </c>
      <c r="C159" s="75">
        <v>-2592</v>
      </c>
      <c r="G159" s="75">
        <v>2592</v>
      </c>
      <c r="H159" s="56">
        <f>C159</f>
        <v>-2592</v>
      </c>
    </row>
    <row r="160" spans="1:8" x14ac:dyDescent="0.25">
      <c r="A160" s="32" t="s">
        <v>264</v>
      </c>
      <c r="B160" s="32" t="s">
        <v>265</v>
      </c>
    </row>
    <row r="161" spans="1:8" x14ac:dyDescent="0.25">
      <c r="A161" s="32" t="s">
        <v>266</v>
      </c>
      <c r="B161" s="32" t="s">
        <v>267</v>
      </c>
    </row>
    <row r="162" spans="1:8" x14ac:dyDescent="0.25">
      <c r="A162" s="32" t="s">
        <v>268</v>
      </c>
      <c r="B162" s="32" t="s">
        <v>269</v>
      </c>
      <c r="C162" s="75">
        <v>-40665.339999999997</v>
      </c>
      <c r="D162" s="75">
        <v>-110000</v>
      </c>
      <c r="E162" s="75">
        <v>63.03</v>
      </c>
      <c r="F162" s="75">
        <v>36.97</v>
      </c>
      <c r="G162" s="75">
        <v>-69334.66</v>
      </c>
      <c r="H162" s="56">
        <f>D162</f>
        <v>-110000</v>
      </c>
    </row>
    <row r="163" spans="1:8" x14ac:dyDescent="0.25">
      <c r="A163" s="32" t="s">
        <v>270</v>
      </c>
      <c r="B163" s="32" t="s">
        <v>271</v>
      </c>
      <c r="C163" s="75">
        <v>-22378.400000000001</v>
      </c>
      <c r="D163" s="75">
        <v>-120000</v>
      </c>
      <c r="E163" s="75">
        <v>81.349999999999994</v>
      </c>
      <c r="F163" s="75">
        <v>18.649999999999999</v>
      </c>
      <c r="G163" s="75">
        <v>-97621.6</v>
      </c>
      <c r="H163" s="56">
        <v>-90000</v>
      </c>
    </row>
    <row r="164" spans="1:8" x14ac:dyDescent="0.25">
      <c r="A164" s="32" t="s">
        <v>272</v>
      </c>
      <c r="B164" s="32" t="s">
        <v>273</v>
      </c>
      <c r="C164" s="75">
        <v>-2916.13</v>
      </c>
      <c r="D164" s="75">
        <v>-16000</v>
      </c>
      <c r="E164" s="75">
        <v>81.77</v>
      </c>
      <c r="F164" s="75">
        <v>18.23</v>
      </c>
      <c r="G164" s="75">
        <v>-13083.87</v>
      </c>
      <c r="H164" s="56">
        <f>D164</f>
        <v>-16000</v>
      </c>
    </row>
    <row r="165" spans="1:8" x14ac:dyDescent="0.25">
      <c r="A165" s="32" t="s">
        <v>274</v>
      </c>
      <c r="B165" s="32" t="s">
        <v>275</v>
      </c>
      <c r="C165" s="75">
        <v>-6490.67</v>
      </c>
      <c r="D165" s="75">
        <v>-15000</v>
      </c>
      <c r="E165" s="75">
        <v>56.73</v>
      </c>
      <c r="F165" s="75">
        <v>43.27</v>
      </c>
      <c r="G165" s="75">
        <v>-8509.33</v>
      </c>
      <c r="H165" s="56">
        <v>-15000</v>
      </c>
    </row>
    <row r="166" spans="1:8" x14ac:dyDescent="0.25">
      <c r="A166" s="32" t="s">
        <v>276</v>
      </c>
      <c r="B166" s="32" t="s">
        <v>277</v>
      </c>
    </row>
    <row r="167" spans="1:8" x14ac:dyDescent="0.25">
      <c r="A167" s="32" t="s">
        <v>278</v>
      </c>
      <c r="B167" s="32" t="s">
        <v>279</v>
      </c>
    </row>
    <row r="168" spans="1:8" x14ac:dyDescent="0.25">
      <c r="A168" s="32" t="s">
        <v>280</v>
      </c>
      <c r="B168" s="32" t="s">
        <v>281</v>
      </c>
      <c r="C168" s="75">
        <v>-15886</v>
      </c>
      <c r="D168" s="75">
        <v>-10000</v>
      </c>
      <c r="E168" s="75">
        <v>-58.86</v>
      </c>
      <c r="F168" s="75">
        <v>158.86000000000001</v>
      </c>
      <c r="G168" s="75">
        <v>5886</v>
      </c>
      <c r="H168" s="56">
        <v>-10000</v>
      </c>
    </row>
    <row r="169" spans="1:8" x14ac:dyDescent="0.25">
      <c r="A169" s="32" t="s">
        <v>282</v>
      </c>
      <c r="B169" s="32" t="s">
        <v>283</v>
      </c>
      <c r="C169" s="75">
        <v>-21047.47</v>
      </c>
      <c r="D169" s="75">
        <v>-50000</v>
      </c>
      <c r="E169" s="75">
        <v>57.91</v>
      </c>
      <c r="F169" s="75">
        <v>42.09</v>
      </c>
      <c r="G169" s="75">
        <v>-28952.53</v>
      </c>
      <c r="H169" s="56">
        <v>-50000</v>
      </c>
    </row>
    <row r="170" spans="1:8" x14ac:dyDescent="0.25">
      <c r="A170" s="32" t="s">
        <v>284</v>
      </c>
      <c r="B170" s="32" t="s">
        <v>285</v>
      </c>
    </row>
    <row r="171" spans="1:8" x14ac:dyDescent="0.25">
      <c r="A171" s="32" t="s">
        <v>286</v>
      </c>
      <c r="B171" s="32" t="s">
        <v>287</v>
      </c>
    </row>
    <row r="172" spans="1:8" x14ac:dyDescent="0.25">
      <c r="A172" s="32" t="s">
        <v>288</v>
      </c>
      <c r="B172" s="32" t="s">
        <v>289</v>
      </c>
    </row>
    <row r="173" spans="1:8" x14ac:dyDescent="0.25">
      <c r="A173" s="32" t="s">
        <v>290</v>
      </c>
      <c r="B173" s="32" t="s">
        <v>291</v>
      </c>
      <c r="D173" s="75">
        <v>-10000</v>
      </c>
      <c r="E173" s="75">
        <v>100</v>
      </c>
      <c r="G173" s="75">
        <v>-10000</v>
      </c>
      <c r="H173" s="56">
        <v>-10000</v>
      </c>
    </row>
    <row r="174" spans="1:8" x14ac:dyDescent="0.25">
      <c r="A174" s="32" t="s">
        <v>292</v>
      </c>
      <c r="B174" s="32" t="s">
        <v>293</v>
      </c>
      <c r="C174" s="75">
        <v>-10022.94</v>
      </c>
      <c r="D174" s="75">
        <v>-20000</v>
      </c>
      <c r="E174" s="75">
        <v>49.89</v>
      </c>
      <c r="F174" s="75">
        <v>50.11</v>
      </c>
      <c r="G174" s="75">
        <v>-9977.06</v>
      </c>
      <c r="H174" s="56">
        <v>-20000</v>
      </c>
    </row>
    <row r="175" spans="1:8" x14ac:dyDescent="0.25">
      <c r="A175" s="32" t="s">
        <v>294</v>
      </c>
      <c r="B175" s="32" t="s">
        <v>295</v>
      </c>
      <c r="C175" s="75">
        <v>-172655.8</v>
      </c>
      <c r="G175" s="75">
        <v>172655.8</v>
      </c>
      <c r="H175" s="56">
        <f>C175+172416.6</f>
        <v>-239.19999999998254</v>
      </c>
    </row>
    <row r="176" spans="1:8" x14ac:dyDescent="0.25">
      <c r="A176" s="32" t="s">
        <v>296</v>
      </c>
      <c r="B176" s="32" t="s">
        <v>297</v>
      </c>
      <c r="D176" s="75">
        <v>-1000</v>
      </c>
      <c r="E176" s="75">
        <v>100</v>
      </c>
      <c r="G176" s="75">
        <v>-1000</v>
      </c>
      <c r="H176" s="56">
        <v>-1000</v>
      </c>
    </row>
    <row r="177" spans="1:8" x14ac:dyDescent="0.25">
      <c r="A177" s="32" t="s">
        <v>298</v>
      </c>
      <c r="B177" s="32" t="s">
        <v>299</v>
      </c>
      <c r="C177" s="75">
        <v>-44968.45</v>
      </c>
      <c r="D177" s="75">
        <v>-140000</v>
      </c>
      <c r="E177" s="75">
        <v>67.88</v>
      </c>
      <c r="F177" s="75">
        <v>32.119999999999997</v>
      </c>
      <c r="G177" s="75">
        <v>-95031.55</v>
      </c>
      <c r="H177" s="56">
        <v>-140000</v>
      </c>
    </row>
    <row r="178" spans="1:8" x14ac:dyDescent="0.25">
      <c r="A178" s="32" t="s">
        <v>300</v>
      </c>
      <c r="B178" s="32" t="s">
        <v>301</v>
      </c>
      <c r="D178" s="75">
        <v>-4000</v>
      </c>
      <c r="E178" s="75">
        <v>100</v>
      </c>
      <c r="G178" s="75">
        <v>-4000</v>
      </c>
      <c r="H178" s="56">
        <v>-4000</v>
      </c>
    </row>
    <row r="179" spans="1:8" x14ac:dyDescent="0.25">
      <c r="A179" s="32" t="s">
        <v>302</v>
      </c>
      <c r="B179" s="32" t="s">
        <v>303</v>
      </c>
      <c r="C179" s="75">
        <v>-6084.94</v>
      </c>
      <c r="G179" s="75">
        <v>6084.94</v>
      </c>
      <c r="H179" s="56">
        <f>C179</f>
        <v>-6084.94</v>
      </c>
    </row>
    <row r="180" spans="1:8" x14ac:dyDescent="0.25">
      <c r="A180" s="32" t="s">
        <v>304</v>
      </c>
      <c r="B180" s="32" t="s">
        <v>305</v>
      </c>
      <c r="D180" s="75">
        <v>-10000</v>
      </c>
      <c r="E180" s="75">
        <v>100</v>
      </c>
      <c r="G180" s="75">
        <v>-10000</v>
      </c>
      <c r="H180" s="56">
        <v>-5000</v>
      </c>
    </row>
    <row r="181" spans="1:8" x14ac:dyDescent="0.25">
      <c r="A181" s="32" t="s">
        <v>306</v>
      </c>
      <c r="B181" s="32" t="s">
        <v>307</v>
      </c>
    </row>
    <row r="182" spans="1:8" x14ac:dyDescent="0.25">
      <c r="A182" s="32" t="s">
        <v>308</v>
      </c>
      <c r="B182" s="32" t="s">
        <v>309</v>
      </c>
      <c r="C182" s="75">
        <v>-400</v>
      </c>
      <c r="D182" s="75">
        <v>-20000</v>
      </c>
      <c r="E182" s="75">
        <v>98</v>
      </c>
      <c r="F182" s="75">
        <v>2</v>
      </c>
      <c r="G182" s="75">
        <v>-19600</v>
      </c>
      <c r="H182" s="56">
        <v>-20000</v>
      </c>
    </row>
    <row r="183" spans="1:8" x14ac:dyDescent="0.25">
      <c r="A183" s="32" t="s">
        <v>310</v>
      </c>
      <c r="B183" s="32" t="s">
        <v>311</v>
      </c>
    </row>
    <row r="184" spans="1:8" x14ac:dyDescent="0.25">
      <c r="A184" s="32" t="s">
        <v>312</v>
      </c>
      <c r="B184" s="32" t="s">
        <v>313</v>
      </c>
      <c r="C184" s="75">
        <v>-5240.6099999999997</v>
      </c>
      <c r="D184" s="75">
        <v>-43666.67</v>
      </c>
      <c r="E184" s="75">
        <v>88</v>
      </c>
      <c r="F184" s="75">
        <v>12</v>
      </c>
      <c r="G184" s="75">
        <v>-38426.06</v>
      </c>
      <c r="H184" s="56">
        <v>-43666.67</v>
      </c>
    </row>
    <row r="185" spans="1:8" x14ac:dyDescent="0.25">
      <c r="A185" s="32" t="s">
        <v>314</v>
      </c>
      <c r="B185" s="32" t="s">
        <v>315</v>
      </c>
      <c r="C185" s="75">
        <v>-2394</v>
      </c>
      <c r="D185" s="75">
        <v>-45000</v>
      </c>
      <c r="E185" s="75">
        <v>94.68</v>
      </c>
      <c r="F185" s="75">
        <v>5.32</v>
      </c>
      <c r="G185" s="75">
        <v>-42606</v>
      </c>
      <c r="H185" s="56">
        <v>-45000</v>
      </c>
    </row>
    <row r="186" spans="1:8" x14ac:dyDescent="0.25">
      <c r="A186" s="32" t="s">
        <v>316</v>
      </c>
      <c r="B186" s="32" t="s">
        <v>317</v>
      </c>
      <c r="C186" s="75">
        <v>-1818.3</v>
      </c>
      <c r="D186" s="75">
        <v>-15000</v>
      </c>
      <c r="E186" s="75">
        <v>87.88</v>
      </c>
      <c r="F186" s="75">
        <v>12.12</v>
      </c>
      <c r="G186" s="75">
        <v>-13181.7</v>
      </c>
      <c r="H186" s="56">
        <v>-15000</v>
      </c>
    </row>
    <row r="187" spans="1:8" x14ac:dyDescent="0.25">
      <c r="A187" s="32" t="s">
        <v>318</v>
      </c>
      <c r="B187" s="32" t="s">
        <v>319</v>
      </c>
      <c r="C187" s="75">
        <v>-767.9</v>
      </c>
      <c r="D187" s="75">
        <v>-250000</v>
      </c>
      <c r="E187" s="75">
        <v>99.69</v>
      </c>
      <c r="F187" s="75">
        <v>0.31</v>
      </c>
      <c r="G187" s="75">
        <v>-249232.1</v>
      </c>
      <c r="H187" s="56">
        <v>-250000</v>
      </c>
    </row>
    <row r="188" spans="1:8" x14ac:dyDescent="0.25">
      <c r="A188" s="32" t="s">
        <v>320</v>
      </c>
      <c r="B188" s="32" t="s">
        <v>321</v>
      </c>
      <c r="C188" s="75">
        <v>-9669.67</v>
      </c>
      <c r="D188" s="75">
        <v>-34933.33</v>
      </c>
      <c r="E188" s="75">
        <v>72.319999999999993</v>
      </c>
      <c r="F188" s="75">
        <v>27.68</v>
      </c>
      <c r="G188" s="75">
        <v>-25263.66</v>
      </c>
      <c r="H188" s="56">
        <v>-34933.33</v>
      </c>
    </row>
    <row r="189" spans="1:8" x14ac:dyDescent="0.25">
      <c r="A189" s="32" t="s">
        <v>322</v>
      </c>
      <c r="B189" s="32" t="s">
        <v>323</v>
      </c>
      <c r="C189" s="75">
        <v>-52390.1</v>
      </c>
      <c r="D189" s="75">
        <v>-550000</v>
      </c>
      <c r="E189" s="75">
        <v>90.47</v>
      </c>
      <c r="F189" s="75">
        <v>9.5299999999999994</v>
      </c>
      <c r="G189" s="75">
        <v>-497609.9</v>
      </c>
      <c r="H189" s="56">
        <v>-550000</v>
      </c>
    </row>
    <row r="190" spans="1:8" x14ac:dyDescent="0.25">
      <c r="A190" s="32" t="s">
        <v>324</v>
      </c>
      <c r="B190" s="32" t="s">
        <v>325</v>
      </c>
    </row>
    <row r="191" spans="1:8" x14ac:dyDescent="0.25">
      <c r="A191" s="32" t="s">
        <v>326</v>
      </c>
      <c r="B191" s="32" t="s">
        <v>327</v>
      </c>
    </row>
    <row r="192" spans="1:8" x14ac:dyDescent="0.25">
      <c r="A192" s="32" t="s">
        <v>328</v>
      </c>
      <c r="B192" s="32" t="s">
        <v>329</v>
      </c>
      <c r="D192" s="75">
        <v>-77000</v>
      </c>
      <c r="E192" s="75">
        <v>100</v>
      </c>
      <c r="G192" s="75">
        <v>-77000</v>
      </c>
      <c r="H192" s="56">
        <v>-77000</v>
      </c>
    </row>
    <row r="193" spans="1:8" x14ac:dyDescent="0.25">
      <c r="A193" s="32" t="s">
        <v>330</v>
      </c>
      <c r="B193" s="32" t="s">
        <v>331</v>
      </c>
      <c r="C193" s="75">
        <v>-470.73</v>
      </c>
      <c r="D193" s="75">
        <v>-100000</v>
      </c>
      <c r="E193" s="75">
        <v>99.53</v>
      </c>
      <c r="F193" s="75">
        <v>0.47</v>
      </c>
      <c r="G193" s="75">
        <v>-99529.27</v>
      </c>
      <c r="H193" s="56">
        <v>-100000</v>
      </c>
    </row>
    <row r="194" spans="1:8" x14ac:dyDescent="0.25">
      <c r="A194" s="32" t="s">
        <v>332</v>
      </c>
      <c r="B194" s="32" t="s">
        <v>333</v>
      </c>
    </row>
    <row r="195" spans="1:8" x14ac:dyDescent="0.25">
      <c r="A195" s="32" t="s">
        <v>334</v>
      </c>
      <c r="B195" s="32" t="s">
        <v>335</v>
      </c>
    </row>
    <row r="196" spans="1:8" x14ac:dyDescent="0.25">
      <c r="A196" s="32" t="s">
        <v>336</v>
      </c>
      <c r="B196" s="32" t="s">
        <v>337</v>
      </c>
    </row>
    <row r="197" spans="1:8" x14ac:dyDescent="0.25">
      <c r="A197" s="32" t="s">
        <v>338</v>
      </c>
      <c r="B197" s="32" t="s">
        <v>339</v>
      </c>
    </row>
    <row r="198" spans="1:8" x14ac:dyDescent="0.25">
      <c r="A198" s="33" t="s">
        <v>340</v>
      </c>
      <c r="B198" s="33" t="s">
        <v>341</v>
      </c>
      <c r="C198" s="76">
        <v>-1000312</v>
      </c>
      <c r="D198" s="76">
        <v>-3348833.53</v>
      </c>
      <c r="E198" s="76">
        <v>70.13</v>
      </c>
      <c r="F198" s="76">
        <v>29.87</v>
      </c>
      <c r="G198" s="76">
        <v>-2348521.5299999998</v>
      </c>
      <c r="H198" s="73">
        <f>SUM(H139:H197)</f>
        <v>-3278894.1409999994</v>
      </c>
    </row>
    <row r="199" spans="1:8" x14ac:dyDescent="0.25">
      <c r="A199" s="32" t="s">
        <v>12</v>
      </c>
      <c r="B199" s="32" t="s">
        <v>12</v>
      </c>
    </row>
    <row r="200" spans="1:8" x14ac:dyDescent="0.25">
      <c r="A200" s="33" t="s">
        <v>342</v>
      </c>
      <c r="B200" s="33" t="s">
        <v>343</v>
      </c>
      <c r="C200" s="76"/>
      <c r="D200" s="76"/>
      <c r="E200" s="76"/>
      <c r="F200" s="76"/>
      <c r="G200" s="76"/>
      <c r="H200" s="73"/>
    </row>
    <row r="201" spans="1:8" x14ac:dyDescent="0.25">
      <c r="A201" s="32" t="s">
        <v>344</v>
      </c>
      <c r="B201" s="32" t="s">
        <v>345</v>
      </c>
    </row>
    <row r="202" spans="1:8" x14ac:dyDescent="0.25">
      <c r="A202" s="32" t="s">
        <v>346</v>
      </c>
      <c r="B202" s="32" t="s">
        <v>347</v>
      </c>
    </row>
    <row r="203" spans="1:8" x14ac:dyDescent="0.25">
      <c r="A203" s="32" t="s">
        <v>348</v>
      </c>
      <c r="B203" s="32" t="s">
        <v>349</v>
      </c>
    </row>
    <row r="204" spans="1:8" x14ac:dyDescent="0.25">
      <c r="A204" s="32" t="s">
        <v>350</v>
      </c>
      <c r="B204" s="32" t="s">
        <v>351</v>
      </c>
    </row>
    <row r="205" spans="1:8" x14ac:dyDescent="0.25">
      <c r="A205" s="32" t="s">
        <v>352</v>
      </c>
      <c r="B205" s="32" t="s">
        <v>353</v>
      </c>
    </row>
    <row r="206" spans="1:8" x14ac:dyDescent="0.25">
      <c r="A206" s="32" t="s">
        <v>354</v>
      </c>
      <c r="B206" s="32" t="s">
        <v>355</v>
      </c>
    </row>
    <row r="207" spans="1:8" x14ac:dyDescent="0.25">
      <c r="A207" s="32" t="s">
        <v>356</v>
      </c>
      <c r="B207" s="32" t="s">
        <v>357</v>
      </c>
    </row>
    <row r="208" spans="1:8" x14ac:dyDescent="0.25">
      <c r="A208" s="32" t="s">
        <v>358</v>
      </c>
      <c r="B208" s="32" t="s">
        <v>359</v>
      </c>
    </row>
    <row r="209" spans="1:8" x14ac:dyDescent="0.25">
      <c r="A209" s="33" t="s">
        <v>360</v>
      </c>
      <c r="B209" s="33" t="s">
        <v>361</v>
      </c>
      <c r="C209" s="76"/>
      <c r="D209" s="76"/>
      <c r="E209" s="76"/>
      <c r="F209" s="76"/>
      <c r="G209" s="76"/>
      <c r="H209" s="73">
        <f>SUM(H201:H208)</f>
        <v>0</v>
      </c>
    </row>
    <row r="210" spans="1:8" x14ac:dyDescent="0.25">
      <c r="A210" s="32" t="s">
        <v>12</v>
      </c>
      <c r="B210" s="32" t="s">
        <v>12</v>
      </c>
    </row>
    <row r="211" spans="1:8" x14ac:dyDescent="0.25">
      <c r="A211" s="33" t="s">
        <v>362</v>
      </c>
      <c r="B211" s="33" t="s">
        <v>40</v>
      </c>
      <c r="C211" s="76"/>
      <c r="D211" s="76"/>
      <c r="E211" s="76"/>
      <c r="F211" s="76"/>
      <c r="G211" s="76"/>
      <c r="H211" s="73"/>
    </row>
    <row r="212" spans="1:8" x14ac:dyDescent="0.25">
      <c r="A212" s="32" t="s">
        <v>363</v>
      </c>
      <c r="B212" s="32" t="s">
        <v>364</v>
      </c>
    </row>
    <row r="213" spans="1:8" x14ac:dyDescent="0.25">
      <c r="A213" s="32" t="s">
        <v>365</v>
      </c>
      <c r="B213" s="32" t="s">
        <v>366</v>
      </c>
    </row>
    <row r="214" spans="1:8" x14ac:dyDescent="0.25">
      <c r="A214" s="32" t="s">
        <v>367</v>
      </c>
      <c r="B214" s="32" t="s">
        <v>368</v>
      </c>
    </row>
    <row r="215" spans="1:8" x14ac:dyDescent="0.25">
      <c r="A215" s="32" t="s">
        <v>369</v>
      </c>
      <c r="B215" s="32" t="s">
        <v>370</v>
      </c>
      <c r="C215" s="75">
        <v>-313.33</v>
      </c>
      <c r="G215" s="75">
        <v>313.33</v>
      </c>
      <c r="H215" s="56">
        <f>C215</f>
        <v>-313.33</v>
      </c>
    </row>
    <row r="216" spans="1:8" x14ac:dyDescent="0.25">
      <c r="A216" s="32" t="s">
        <v>371</v>
      </c>
      <c r="B216" s="32" t="s">
        <v>372</v>
      </c>
    </row>
    <row r="217" spans="1:8" x14ac:dyDescent="0.25">
      <c r="A217" s="32" t="s">
        <v>373</v>
      </c>
      <c r="B217" s="32" t="s">
        <v>374</v>
      </c>
    </row>
    <row r="218" spans="1:8" x14ac:dyDescent="0.25">
      <c r="A218" s="32" t="s">
        <v>375</v>
      </c>
      <c r="B218" s="32" t="s">
        <v>376</v>
      </c>
    </row>
    <row r="219" spans="1:8" x14ac:dyDescent="0.25">
      <c r="A219" s="33" t="s">
        <v>377</v>
      </c>
      <c r="B219" s="33" t="s">
        <v>378</v>
      </c>
      <c r="C219" s="76">
        <v>-313.33</v>
      </c>
      <c r="D219" s="76"/>
      <c r="E219" s="76"/>
      <c r="F219" s="76"/>
      <c r="G219" s="76">
        <v>313.33</v>
      </c>
      <c r="H219" s="73">
        <f>SUM(H212:H218)</f>
        <v>-313.33</v>
      </c>
    </row>
    <row r="220" spans="1:8" x14ac:dyDescent="0.25">
      <c r="A220" s="32" t="s">
        <v>12</v>
      </c>
      <c r="B220" s="32" t="s">
        <v>12</v>
      </c>
    </row>
    <row r="221" spans="1:8" x14ac:dyDescent="0.25">
      <c r="A221" s="33" t="s">
        <v>379</v>
      </c>
      <c r="B221" s="33" t="s">
        <v>380</v>
      </c>
      <c r="C221" s="76"/>
      <c r="D221" s="76"/>
      <c r="E221" s="76"/>
      <c r="F221" s="76"/>
      <c r="G221" s="76"/>
      <c r="H221" s="73"/>
    </row>
    <row r="222" spans="1:8" x14ac:dyDescent="0.25">
      <c r="A222" s="32" t="s">
        <v>381</v>
      </c>
      <c r="B222" s="32" t="s">
        <v>380</v>
      </c>
    </row>
    <row r="223" spans="1:8" x14ac:dyDescent="0.25">
      <c r="A223" s="33" t="s">
        <v>382</v>
      </c>
      <c r="B223" s="33" t="s">
        <v>383</v>
      </c>
      <c r="C223" s="76"/>
      <c r="D223" s="76"/>
      <c r="E223" s="76"/>
      <c r="F223" s="76"/>
      <c r="G223" s="76"/>
      <c r="H223" s="73">
        <f>H222</f>
        <v>0</v>
      </c>
    </row>
    <row r="224" spans="1:8" x14ac:dyDescent="0.25">
      <c r="A224" s="32" t="s">
        <v>12</v>
      </c>
      <c r="B224" s="32" t="s">
        <v>12</v>
      </c>
    </row>
    <row r="225" spans="1:8" x14ac:dyDescent="0.25">
      <c r="A225" s="33" t="s">
        <v>384</v>
      </c>
      <c r="B225" s="33" t="s">
        <v>385</v>
      </c>
      <c r="C225" s="76"/>
      <c r="D225" s="76"/>
      <c r="E225" s="76"/>
      <c r="F225" s="76"/>
      <c r="G225" s="76"/>
      <c r="H225" s="73"/>
    </row>
    <row r="226" spans="1:8" x14ac:dyDescent="0.25">
      <c r="A226" s="32" t="s">
        <v>386</v>
      </c>
      <c r="B226" s="32" t="s">
        <v>385</v>
      </c>
    </row>
    <row r="227" spans="1:8" x14ac:dyDescent="0.25">
      <c r="A227" s="33" t="s">
        <v>387</v>
      </c>
      <c r="B227" s="33" t="s">
        <v>388</v>
      </c>
      <c r="C227" s="76"/>
      <c r="D227" s="76"/>
      <c r="E227" s="76"/>
      <c r="F227" s="76"/>
      <c r="G227" s="76"/>
      <c r="H227" s="73">
        <f>H226</f>
        <v>0</v>
      </c>
    </row>
    <row r="228" spans="1:8" x14ac:dyDescent="0.25">
      <c r="A228" s="32" t="s">
        <v>12</v>
      </c>
      <c r="B228" s="32" t="s">
        <v>12</v>
      </c>
    </row>
    <row r="229" spans="1:8" ht="15.75" thickBot="1" x14ac:dyDescent="0.3">
      <c r="A229" s="34" t="s">
        <v>389</v>
      </c>
      <c r="B229" s="34" t="s">
        <v>390</v>
      </c>
      <c r="C229" s="77">
        <v>808762.11</v>
      </c>
      <c r="D229" s="77">
        <v>-858304.41</v>
      </c>
      <c r="E229" s="77">
        <v>194.23</v>
      </c>
      <c r="F229" s="77">
        <v>-94.23</v>
      </c>
      <c r="G229" s="77">
        <v>-1667066.52</v>
      </c>
      <c r="H229" s="74">
        <f>H219+H209+H223+H227+H198+H136+H127</f>
        <v>-899647.92539786035</v>
      </c>
    </row>
    <row r="230" spans="1:8" ht="15.75" thickTop="1" x14ac:dyDescent="0.25">
      <c r="A230" s="32" t="s">
        <v>12</v>
      </c>
      <c r="B230" s="32" t="s">
        <v>12</v>
      </c>
    </row>
    <row r="231" spans="1:8" x14ac:dyDescent="0.25">
      <c r="A231" s="33" t="s">
        <v>391</v>
      </c>
      <c r="B231" s="33" t="s">
        <v>392</v>
      </c>
      <c r="C231" s="76"/>
      <c r="D231" s="76"/>
      <c r="E231" s="76"/>
      <c r="F231" s="76"/>
      <c r="G231" s="76"/>
      <c r="H231" s="73"/>
    </row>
    <row r="232" spans="1:8" x14ac:dyDescent="0.25">
      <c r="A232" s="32" t="s">
        <v>393</v>
      </c>
      <c r="B232" s="32" t="s">
        <v>394</v>
      </c>
    </row>
    <row r="233" spans="1:8" x14ac:dyDescent="0.25">
      <c r="A233" s="32" t="s">
        <v>395</v>
      </c>
      <c r="B233" s="32" t="s">
        <v>396</v>
      </c>
    </row>
    <row r="234" spans="1:8" x14ac:dyDescent="0.25">
      <c r="A234" s="32" t="s">
        <v>397</v>
      </c>
      <c r="B234" s="32" t="s">
        <v>398</v>
      </c>
    </row>
    <row r="235" spans="1:8" x14ac:dyDescent="0.25">
      <c r="A235" s="33" t="s">
        <v>399</v>
      </c>
      <c r="B235" s="33" t="s">
        <v>400</v>
      </c>
      <c r="C235" s="76"/>
      <c r="D235" s="76"/>
      <c r="E235" s="76"/>
      <c r="F235" s="76"/>
      <c r="G235" s="76"/>
      <c r="H235" s="73">
        <f>SUM(H232:H234)</f>
        <v>0</v>
      </c>
    </row>
    <row r="236" spans="1:8" x14ac:dyDescent="0.25">
      <c r="A236" s="32" t="s">
        <v>12</v>
      </c>
      <c r="B236" s="32" t="s">
        <v>12</v>
      </c>
    </row>
    <row r="237" spans="1:8" ht="15.75" thickBot="1" x14ac:dyDescent="0.3">
      <c r="A237" s="34" t="s">
        <v>12</v>
      </c>
      <c r="B237" s="34" t="s">
        <v>46</v>
      </c>
      <c r="C237" s="77">
        <v>808762.11</v>
      </c>
      <c r="D237" s="77">
        <v>-858304.41</v>
      </c>
      <c r="E237" s="77">
        <v>194.23</v>
      </c>
      <c r="F237" s="77">
        <v>-94.23</v>
      </c>
      <c r="G237" s="77">
        <v>-1667066.52</v>
      </c>
      <c r="H237" s="74">
        <f>H229+H235</f>
        <v>-899647.92539786035</v>
      </c>
    </row>
    <row r="238" spans="1:8" ht="15.75" thickTop="1" x14ac:dyDescent="0.25">
      <c r="A238" s="32" t="s">
        <v>12</v>
      </c>
      <c r="B238" s="32" t="s">
        <v>12</v>
      </c>
    </row>
    <row r="239" spans="1:8" x14ac:dyDescent="0.25">
      <c r="A239" s="32" t="s">
        <v>401</v>
      </c>
      <c r="B239" s="32" t="s">
        <v>402</v>
      </c>
    </row>
    <row r="240" spans="1:8" x14ac:dyDescent="0.25">
      <c r="A240" s="32" t="s">
        <v>403</v>
      </c>
      <c r="B240" s="32" t="s">
        <v>404</v>
      </c>
    </row>
    <row r="241" spans="1:8" x14ac:dyDescent="0.25">
      <c r="A241" s="32" t="s">
        <v>405</v>
      </c>
      <c r="B241" s="32" t="s">
        <v>406</v>
      </c>
      <c r="C241" s="75">
        <v>-71340.66</v>
      </c>
      <c r="D241" s="75">
        <v>-142681.19</v>
      </c>
      <c r="E241" s="75">
        <v>50</v>
      </c>
      <c r="F241" s="75">
        <v>50</v>
      </c>
      <c r="G241" s="75">
        <v>-71340.53</v>
      </c>
      <c r="H241" s="56">
        <v>-142681.26999999999</v>
      </c>
    </row>
    <row r="242" spans="1:8" x14ac:dyDescent="0.25">
      <c r="A242" s="32" t="s">
        <v>407</v>
      </c>
      <c r="B242" s="32" t="s">
        <v>408</v>
      </c>
    </row>
    <row r="243" spans="1:8" x14ac:dyDescent="0.25">
      <c r="A243" s="33" t="s">
        <v>409</v>
      </c>
      <c r="B243" s="33" t="s">
        <v>410</v>
      </c>
      <c r="C243" s="76">
        <v>-71340.66</v>
      </c>
      <c r="D243" s="76">
        <v>-142681.19</v>
      </c>
      <c r="E243" s="76">
        <v>50</v>
      </c>
      <c r="F243" s="76">
        <v>50</v>
      </c>
      <c r="G243" s="76">
        <v>-71340.53</v>
      </c>
      <c r="H243" s="73">
        <f>SUM(H239:H242)</f>
        <v>-142681.26999999999</v>
      </c>
    </row>
    <row r="244" spans="1:8" x14ac:dyDescent="0.25">
      <c r="A244" s="32" t="s">
        <v>12</v>
      </c>
      <c r="B244" s="32" t="s">
        <v>12</v>
      </c>
    </row>
    <row r="245" spans="1:8" ht="15.75" thickBot="1" x14ac:dyDescent="0.3">
      <c r="A245" s="34" t="s">
        <v>411</v>
      </c>
      <c r="B245" s="34" t="s">
        <v>49</v>
      </c>
      <c r="C245" s="77">
        <v>737421.45</v>
      </c>
      <c r="D245" s="77">
        <v>-1000985.6</v>
      </c>
      <c r="E245" s="77">
        <v>173.67</v>
      </c>
      <c r="F245" s="77">
        <v>-73.67</v>
      </c>
      <c r="G245" s="77">
        <v>-1738407.05</v>
      </c>
      <c r="H245" s="74">
        <f>+H237+H243</f>
        <v>-1042329.1953978604</v>
      </c>
    </row>
    <row r="246" spans="1:8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Likviditetsoversigt</vt:lpstr>
      <vt:lpstr>Samlet regnskab</vt:lpstr>
      <vt:lpstr>ESTIMAT</vt:lpstr>
      <vt:lpstr>ESTIMAT Sammenligning</vt:lpstr>
      <vt:lpstr>Fælles adm.</vt:lpstr>
      <vt:lpstr>Odense</vt:lpstr>
      <vt:lpstr>Laks</vt:lpstr>
      <vt:lpstr>Assens</vt:lpstr>
      <vt:lpstr>Nyborg</vt:lpstr>
      <vt:lpstr>Nordfyn</vt:lpstr>
      <vt:lpstr>Kerteminde</vt:lpstr>
      <vt:lpstr>Særlige tilskud</vt:lpstr>
      <vt:lpstr>Øvrige tilskud</vt:lpstr>
      <vt:lpstr>Taksameter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Majbritt Lagersted</dc:creator>
  <cp:lastModifiedBy>Hanne Heger Wendel</cp:lastModifiedBy>
  <dcterms:created xsi:type="dcterms:W3CDTF">2021-08-20T13:55:53Z</dcterms:created>
  <dcterms:modified xsi:type="dcterms:W3CDTF">2021-08-24T13:11:17Z</dcterms:modified>
</cp:coreProperties>
</file>