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\\od-print-fil-01\personligtdrev\hhw\FGU Sekretariat\Bestyrelsesmøder\22. september d. 03.09.21\"/>
    </mc:Choice>
  </mc:AlternateContent>
  <xr:revisionPtr revIDLastSave="0" documentId="8_{7CD63CD2-7BFA-496F-9EC4-39E7637E5E50}" xr6:coauthVersionLast="46" xr6:coauthVersionMax="46" xr10:uidLastSave="{00000000-0000-0000-0000-000000000000}"/>
  <bookViews>
    <workbookView xWindow="-120" yWindow="-120" windowWidth="20730" windowHeight="11160" firstSheet="3" activeTab="3" xr2:uid="{00000000-000D-0000-FFFF-FFFF00000000}"/>
  </bookViews>
  <sheets>
    <sheet name="Likviditetsoversigt" sheetId="13" r:id="rId1"/>
    <sheet name="Halvårsregnskab" sheetId="1" r:id="rId2"/>
    <sheet name="ESTIMAT" sheetId="10" r:id="rId3"/>
    <sheet name="Budget 2022" sheetId="15" r:id="rId4"/>
    <sheet name="Budget 2023" sheetId="16" r:id="rId5"/>
    <sheet name="DATAARK" sheetId="11" r:id="rId6"/>
    <sheet name="Fælles adm." sheetId="3" r:id="rId7"/>
    <sheet name="Odense" sheetId="9" r:id="rId8"/>
    <sheet name="Laks" sheetId="8" r:id="rId9"/>
    <sheet name="Assens" sheetId="7" r:id="rId10"/>
    <sheet name="Nyborg" sheetId="6" r:id="rId11"/>
    <sheet name="Nordfyn" sheetId="5" r:id="rId12"/>
    <sheet name="Kerteminde" sheetId="4" r:id="rId13"/>
    <sheet name="Særlige tilskud" sheetId="2" r:id="rId14"/>
    <sheet name="Øvrige tilskud" sheetId="12" r:id="rId15"/>
    <sheet name="ESTIMAT Sammenligning" sheetId="14" r:id="rId16"/>
    <sheet name="Ny fordeling afskrivninger" sheetId="17" r:id="rId17"/>
  </sheets>
  <externalReferences>
    <externalReference r:id="rId18"/>
    <externalReference r:id="rId19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244" i="4" l="1"/>
  <c r="N243" i="4"/>
  <c r="N242" i="4"/>
  <c r="N241" i="4"/>
  <c r="N240" i="4"/>
  <c r="N239" i="4"/>
  <c r="N238" i="4"/>
  <c r="N237" i="4"/>
  <c r="N236" i="4"/>
  <c r="N235" i="4"/>
  <c r="N234" i="4"/>
  <c r="N233" i="4"/>
  <c r="N232" i="4"/>
  <c r="N231" i="4"/>
  <c r="N230" i="4"/>
  <c r="N228" i="4"/>
  <c r="N227" i="4"/>
  <c r="N226" i="4"/>
  <c r="N225" i="4"/>
  <c r="N224" i="4"/>
  <c r="N223" i="4"/>
  <c r="N222" i="4"/>
  <c r="N221" i="4"/>
  <c r="N220" i="4"/>
  <c r="N219" i="4"/>
  <c r="N218" i="4"/>
  <c r="N217" i="4"/>
  <c r="N216" i="4"/>
  <c r="N215" i="4"/>
  <c r="N214" i="4"/>
  <c r="N213" i="4"/>
  <c r="N212" i="4"/>
  <c r="N211" i="4"/>
  <c r="N210" i="4"/>
  <c r="N209" i="4"/>
  <c r="N208" i="4"/>
  <c r="N207" i="4"/>
  <c r="N206" i="4"/>
  <c r="N205" i="4"/>
  <c r="N204" i="4"/>
  <c r="N203" i="4"/>
  <c r="N202" i="4"/>
  <c r="N201" i="4"/>
  <c r="N200" i="4"/>
  <c r="N199" i="4"/>
  <c r="N197" i="4"/>
  <c r="N196" i="4"/>
  <c r="N195" i="4"/>
  <c r="N194" i="4"/>
  <c r="N193" i="4"/>
  <c r="N192" i="4"/>
  <c r="N191" i="4"/>
  <c r="N190" i="4"/>
  <c r="N189" i="4"/>
  <c r="N188" i="4"/>
  <c r="N187" i="4"/>
  <c r="N186" i="4"/>
  <c r="N185" i="4"/>
  <c r="N184" i="4"/>
  <c r="N183" i="4"/>
  <c r="N182" i="4"/>
  <c r="N181" i="4"/>
  <c r="N180" i="4"/>
  <c r="N179" i="4"/>
  <c r="N178" i="4"/>
  <c r="N177" i="4"/>
  <c r="N176" i="4"/>
  <c r="N175" i="4"/>
  <c r="N174" i="4"/>
  <c r="N173" i="4"/>
  <c r="N172" i="4"/>
  <c r="N171" i="4"/>
  <c r="N170" i="4"/>
  <c r="N169" i="4"/>
  <c r="N168" i="4"/>
  <c r="N167" i="4"/>
  <c r="N166" i="4"/>
  <c r="N165" i="4"/>
  <c r="N164" i="4"/>
  <c r="N163" i="4"/>
  <c r="N162" i="4"/>
  <c r="N161" i="4"/>
  <c r="N160" i="4"/>
  <c r="N159" i="4"/>
  <c r="N158" i="4"/>
  <c r="N157" i="4"/>
  <c r="N156" i="4"/>
  <c r="N155" i="4"/>
  <c r="N154" i="4"/>
  <c r="N153" i="4"/>
  <c r="N152" i="4"/>
  <c r="N151" i="4"/>
  <c r="N150" i="4"/>
  <c r="N149" i="4"/>
  <c r="N148" i="4"/>
  <c r="N147" i="4"/>
  <c r="N146" i="4"/>
  <c r="N145" i="4"/>
  <c r="N144" i="4"/>
  <c r="N143" i="4"/>
  <c r="N142" i="4"/>
  <c r="N140" i="4"/>
  <c r="N139" i="4"/>
  <c r="N136" i="4"/>
  <c r="N135" i="4"/>
  <c r="N134" i="4"/>
  <c r="N133" i="4"/>
  <c r="N132" i="4"/>
  <c r="N131" i="4"/>
  <c r="N130" i="4"/>
  <c r="N121" i="4"/>
  <c r="N120" i="4"/>
  <c r="N119" i="4"/>
  <c r="N118" i="4"/>
  <c r="N117" i="4"/>
  <c r="N116" i="4"/>
  <c r="N115" i="4"/>
  <c r="N111" i="4"/>
  <c r="N106" i="4"/>
  <c r="N105" i="4"/>
  <c r="N104" i="4"/>
  <c r="N103" i="4"/>
  <c r="N102" i="4"/>
  <c r="N101" i="4"/>
  <c r="N100" i="4"/>
  <c r="N99" i="4"/>
  <c r="N98" i="4"/>
  <c r="N97" i="4"/>
  <c r="N96" i="4"/>
  <c r="N95" i="4"/>
  <c r="N94" i="4"/>
  <c r="N93" i="4"/>
  <c r="N92" i="4"/>
  <c r="N91" i="4"/>
  <c r="N89" i="4"/>
  <c r="N88" i="4"/>
  <c r="N87" i="4"/>
  <c r="N86" i="4"/>
  <c r="N85" i="4"/>
  <c r="N81" i="4"/>
  <c r="N80" i="4"/>
  <c r="N76" i="4"/>
  <c r="N75" i="4"/>
  <c r="N74" i="4"/>
  <c r="N73" i="4"/>
  <c r="N69" i="4"/>
  <c r="N68" i="4"/>
  <c r="N62" i="4"/>
  <c r="N58" i="4"/>
  <c r="N57" i="4"/>
  <c r="N56" i="4"/>
  <c r="N55" i="4"/>
  <c r="N54" i="4"/>
  <c r="N53" i="4"/>
  <c r="N52" i="4"/>
  <c r="N51" i="4"/>
  <c r="N50" i="4"/>
  <c r="N49" i="4"/>
  <c r="N45" i="4"/>
  <c r="N44" i="4"/>
  <c r="N43" i="4"/>
  <c r="N42" i="4"/>
  <c r="N41" i="4"/>
  <c r="N40" i="4"/>
  <c r="N244" i="5"/>
  <c r="N243" i="5"/>
  <c r="N242" i="5"/>
  <c r="N241" i="5"/>
  <c r="N240" i="5"/>
  <c r="N239" i="5"/>
  <c r="N238" i="5"/>
  <c r="N237" i="5"/>
  <c r="N236" i="5"/>
  <c r="N235" i="5"/>
  <c r="N234" i="5"/>
  <c r="N233" i="5"/>
  <c r="N232" i="5"/>
  <c r="N231" i="5"/>
  <c r="N230" i="5"/>
  <c r="N228" i="5"/>
  <c r="N227" i="5"/>
  <c r="N226" i="5"/>
  <c r="N225" i="5"/>
  <c r="N224" i="5"/>
  <c r="N223" i="5"/>
  <c r="N222" i="5"/>
  <c r="N221" i="5"/>
  <c r="N220" i="5"/>
  <c r="N219" i="5"/>
  <c r="N218" i="5"/>
  <c r="N217" i="5"/>
  <c r="N216" i="5"/>
  <c r="N215" i="5"/>
  <c r="N214" i="5"/>
  <c r="N213" i="5"/>
  <c r="N212" i="5"/>
  <c r="N211" i="5"/>
  <c r="N210" i="5"/>
  <c r="N209" i="5"/>
  <c r="N208" i="5"/>
  <c r="N207" i="5"/>
  <c r="N206" i="5"/>
  <c r="N205" i="5"/>
  <c r="N204" i="5"/>
  <c r="N203" i="5"/>
  <c r="N202" i="5"/>
  <c r="N201" i="5"/>
  <c r="N200" i="5"/>
  <c r="N199" i="5"/>
  <c r="N197" i="5"/>
  <c r="N196" i="5"/>
  <c r="N195" i="5"/>
  <c r="N194" i="5"/>
  <c r="N193" i="5"/>
  <c r="N192" i="5"/>
  <c r="N191" i="5"/>
  <c r="N190" i="5"/>
  <c r="N189" i="5"/>
  <c r="N188" i="5"/>
  <c r="N187" i="5"/>
  <c r="N186" i="5"/>
  <c r="N185" i="5"/>
  <c r="N184" i="5"/>
  <c r="N183" i="5"/>
  <c r="N182" i="5"/>
  <c r="N181" i="5"/>
  <c r="N180" i="5"/>
  <c r="N179" i="5"/>
  <c r="N178" i="5"/>
  <c r="N177" i="5"/>
  <c r="N176" i="5"/>
  <c r="N175" i="5"/>
  <c r="N174" i="5"/>
  <c r="N173" i="5"/>
  <c r="N172" i="5"/>
  <c r="N171" i="5"/>
  <c r="N170" i="5"/>
  <c r="N169" i="5"/>
  <c r="N168" i="5"/>
  <c r="N167" i="5"/>
  <c r="N166" i="5"/>
  <c r="N165" i="5"/>
  <c r="N164" i="5"/>
  <c r="N163" i="5"/>
  <c r="N162" i="5"/>
  <c r="N161" i="5"/>
  <c r="N160" i="5"/>
  <c r="N159" i="5"/>
  <c r="N158" i="5"/>
  <c r="N157" i="5"/>
  <c r="N156" i="5"/>
  <c r="N155" i="5"/>
  <c r="N154" i="5"/>
  <c r="N153" i="5"/>
  <c r="N152" i="5"/>
  <c r="N151" i="5"/>
  <c r="N150" i="5"/>
  <c r="N149" i="5"/>
  <c r="N148" i="5"/>
  <c r="N147" i="5"/>
  <c r="N146" i="5"/>
  <c r="N145" i="5"/>
  <c r="N144" i="5"/>
  <c r="N143" i="5"/>
  <c r="N142" i="5"/>
  <c r="N140" i="5"/>
  <c r="N139" i="5"/>
  <c r="N136" i="5"/>
  <c r="N135" i="5"/>
  <c r="N134" i="5"/>
  <c r="N133" i="5"/>
  <c r="N132" i="5"/>
  <c r="N131" i="5"/>
  <c r="N130" i="5"/>
  <c r="N121" i="5"/>
  <c r="N120" i="5"/>
  <c r="N119" i="5"/>
  <c r="N118" i="5"/>
  <c r="N117" i="5"/>
  <c r="N116" i="5"/>
  <c r="N115" i="5"/>
  <c r="N111" i="5"/>
  <c r="N106" i="5"/>
  <c r="N105" i="5"/>
  <c r="N104" i="5"/>
  <c r="N103" i="5"/>
  <c r="N102" i="5"/>
  <c r="N101" i="5"/>
  <c r="N100" i="5"/>
  <c r="N99" i="5"/>
  <c r="N98" i="5"/>
  <c r="N97" i="5"/>
  <c r="N96" i="5"/>
  <c r="N95" i="5"/>
  <c r="N94" i="5"/>
  <c r="N93" i="5"/>
  <c r="N92" i="5"/>
  <c r="N91" i="5"/>
  <c r="N89" i="5"/>
  <c r="N88" i="5"/>
  <c r="N87" i="5"/>
  <c r="N86" i="5"/>
  <c r="N85" i="5"/>
  <c r="N81" i="5"/>
  <c r="N80" i="5"/>
  <c r="N76" i="5"/>
  <c r="N75" i="5"/>
  <c r="N74" i="5"/>
  <c r="N73" i="5"/>
  <c r="N69" i="5"/>
  <c r="N68" i="5"/>
  <c r="N62" i="5"/>
  <c r="N58" i="5"/>
  <c r="N57" i="5"/>
  <c r="N56" i="5"/>
  <c r="N55" i="5"/>
  <c r="N54" i="5"/>
  <c r="N53" i="5"/>
  <c r="N52" i="5"/>
  <c r="N51" i="5"/>
  <c r="N50" i="5"/>
  <c r="N49" i="5"/>
  <c r="N45" i="5"/>
  <c r="N44" i="5"/>
  <c r="N43" i="5"/>
  <c r="N42" i="5"/>
  <c r="N41" i="5"/>
  <c r="N40" i="5"/>
  <c r="N244" i="6"/>
  <c r="N243" i="6"/>
  <c r="N242" i="6"/>
  <c r="N241" i="6"/>
  <c r="N240" i="6"/>
  <c r="N239" i="6"/>
  <c r="N238" i="6"/>
  <c r="N237" i="6"/>
  <c r="N236" i="6"/>
  <c r="N235" i="6"/>
  <c r="N234" i="6"/>
  <c r="N233" i="6"/>
  <c r="N232" i="6"/>
  <c r="N231" i="6"/>
  <c r="N230" i="6"/>
  <c r="N228" i="6"/>
  <c r="N227" i="6"/>
  <c r="N226" i="6"/>
  <c r="N225" i="6"/>
  <c r="N224" i="6"/>
  <c r="N223" i="6"/>
  <c r="N222" i="6"/>
  <c r="N221" i="6"/>
  <c r="N220" i="6"/>
  <c r="N219" i="6"/>
  <c r="N218" i="6"/>
  <c r="N217" i="6"/>
  <c r="N216" i="6"/>
  <c r="N215" i="6"/>
  <c r="N214" i="6"/>
  <c r="N213" i="6"/>
  <c r="N212" i="6"/>
  <c r="N211" i="6"/>
  <c r="N210" i="6"/>
  <c r="N209" i="6"/>
  <c r="N208" i="6"/>
  <c r="N207" i="6"/>
  <c r="N206" i="6"/>
  <c r="N205" i="6"/>
  <c r="N204" i="6"/>
  <c r="N203" i="6"/>
  <c r="N202" i="6"/>
  <c r="N201" i="6"/>
  <c r="N200" i="6"/>
  <c r="N199" i="6"/>
  <c r="N197" i="6"/>
  <c r="N196" i="6"/>
  <c r="N195" i="6"/>
  <c r="N194" i="6"/>
  <c r="N193" i="6"/>
  <c r="N192" i="6"/>
  <c r="N191" i="6"/>
  <c r="N190" i="6"/>
  <c r="N189" i="6"/>
  <c r="N188" i="6"/>
  <c r="N187" i="6"/>
  <c r="N186" i="6"/>
  <c r="N185" i="6"/>
  <c r="N184" i="6"/>
  <c r="N183" i="6"/>
  <c r="N182" i="6"/>
  <c r="N181" i="6"/>
  <c r="N180" i="6"/>
  <c r="N179" i="6"/>
  <c r="N178" i="6"/>
  <c r="N177" i="6"/>
  <c r="N176" i="6"/>
  <c r="N175" i="6"/>
  <c r="N174" i="6"/>
  <c r="N173" i="6"/>
  <c r="N172" i="6"/>
  <c r="N171" i="6"/>
  <c r="N170" i="6"/>
  <c r="N169" i="6"/>
  <c r="N168" i="6"/>
  <c r="N167" i="6"/>
  <c r="N166" i="6"/>
  <c r="N165" i="6"/>
  <c r="N164" i="6"/>
  <c r="N163" i="6"/>
  <c r="N162" i="6"/>
  <c r="N161" i="6"/>
  <c r="N160" i="6"/>
  <c r="N159" i="6"/>
  <c r="N158" i="6"/>
  <c r="N157" i="6"/>
  <c r="N156" i="6"/>
  <c r="N155" i="6"/>
  <c r="N154" i="6"/>
  <c r="N153" i="6"/>
  <c r="N152" i="6"/>
  <c r="N151" i="6"/>
  <c r="N150" i="6"/>
  <c r="N149" i="6"/>
  <c r="N148" i="6"/>
  <c r="N147" i="6"/>
  <c r="N146" i="6"/>
  <c r="N145" i="6"/>
  <c r="N144" i="6"/>
  <c r="N143" i="6"/>
  <c r="N142" i="6"/>
  <c r="N140" i="6"/>
  <c r="N139" i="6"/>
  <c r="N136" i="6"/>
  <c r="N135" i="6"/>
  <c r="N134" i="6"/>
  <c r="N133" i="6"/>
  <c r="N132" i="6"/>
  <c r="N131" i="6"/>
  <c r="N130" i="6"/>
  <c r="N121" i="6"/>
  <c r="N120" i="6"/>
  <c r="N119" i="6"/>
  <c r="N118" i="6"/>
  <c r="N117" i="6"/>
  <c r="N116" i="6"/>
  <c r="N115" i="6"/>
  <c r="N111" i="6"/>
  <c r="N106" i="6"/>
  <c r="N105" i="6"/>
  <c r="N104" i="6"/>
  <c r="N103" i="6"/>
  <c r="N102" i="6"/>
  <c r="N101" i="6"/>
  <c r="N100" i="6"/>
  <c r="N99" i="6"/>
  <c r="N98" i="6"/>
  <c r="N97" i="6"/>
  <c r="N96" i="6"/>
  <c r="N95" i="6"/>
  <c r="N94" i="6"/>
  <c r="N93" i="6"/>
  <c r="N92" i="6"/>
  <c r="N91" i="6"/>
  <c r="N89" i="6"/>
  <c r="N88" i="6"/>
  <c r="N87" i="6"/>
  <c r="N86" i="6"/>
  <c r="N85" i="6"/>
  <c r="N81" i="6"/>
  <c r="N80" i="6"/>
  <c r="N76" i="6"/>
  <c r="N75" i="6"/>
  <c r="N74" i="6"/>
  <c r="N73" i="6"/>
  <c r="N69" i="6"/>
  <c r="N68" i="6"/>
  <c r="N62" i="6"/>
  <c r="N58" i="6"/>
  <c r="N57" i="6"/>
  <c r="N56" i="6"/>
  <c r="N55" i="6"/>
  <c r="N54" i="6"/>
  <c r="N53" i="6"/>
  <c r="N52" i="6"/>
  <c r="N51" i="6"/>
  <c r="N50" i="6"/>
  <c r="N49" i="6"/>
  <c r="N45" i="6"/>
  <c r="N44" i="6"/>
  <c r="N43" i="6"/>
  <c r="N42" i="6"/>
  <c r="N41" i="6"/>
  <c r="N40" i="6"/>
  <c r="N244" i="7"/>
  <c r="N243" i="7"/>
  <c r="N242" i="7"/>
  <c r="N241" i="7"/>
  <c r="N240" i="7"/>
  <c r="N239" i="7"/>
  <c r="N238" i="7"/>
  <c r="N236" i="7"/>
  <c r="N235" i="7"/>
  <c r="N234" i="7"/>
  <c r="N233" i="7"/>
  <c r="N232" i="7"/>
  <c r="N231" i="7"/>
  <c r="N230" i="7"/>
  <c r="N228" i="7"/>
  <c r="N227" i="7"/>
  <c r="N226" i="7"/>
  <c r="N225" i="7"/>
  <c r="N224" i="7"/>
  <c r="N223" i="7"/>
  <c r="N222" i="7"/>
  <c r="N221" i="7"/>
  <c r="N220" i="7"/>
  <c r="N219" i="7"/>
  <c r="N218" i="7"/>
  <c r="N217" i="7"/>
  <c r="N216" i="7"/>
  <c r="N215" i="7"/>
  <c r="N214" i="7"/>
  <c r="N213" i="7"/>
  <c r="N212" i="7"/>
  <c r="N211" i="7"/>
  <c r="N210" i="7"/>
  <c r="N209" i="7"/>
  <c r="N208" i="7"/>
  <c r="N207" i="7"/>
  <c r="N206" i="7"/>
  <c r="N205" i="7"/>
  <c r="N204" i="7"/>
  <c r="N203" i="7"/>
  <c r="N202" i="7"/>
  <c r="N201" i="7"/>
  <c r="N200" i="7"/>
  <c r="N199" i="7"/>
  <c r="N197" i="7"/>
  <c r="N196" i="7"/>
  <c r="N195" i="7"/>
  <c r="N194" i="7"/>
  <c r="N193" i="7"/>
  <c r="N192" i="7"/>
  <c r="N191" i="7"/>
  <c r="N190" i="7"/>
  <c r="N189" i="7"/>
  <c r="N188" i="7"/>
  <c r="N187" i="7"/>
  <c r="N186" i="7"/>
  <c r="N185" i="7"/>
  <c r="N184" i="7"/>
  <c r="N183" i="7"/>
  <c r="N182" i="7"/>
  <c r="N181" i="7"/>
  <c r="N180" i="7"/>
  <c r="N179" i="7"/>
  <c r="N178" i="7"/>
  <c r="N177" i="7"/>
  <c r="N176" i="7"/>
  <c r="N175" i="7"/>
  <c r="N174" i="7"/>
  <c r="N173" i="7"/>
  <c r="N172" i="7"/>
  <c r="N171" i="7"/>
  <c r="N170" i="7"/>
  <c r="N169" i="7"/>
  <c r="N168" i="7"/>
  <c r="N167" i="7"/>
  <c r="N166" i="7"/>
  <c r="N165" i="7"/>
  <c r="N164" i="7"/>
  <c r="N163" i="7"/>
  <c r="N162" i="7"/>
  <c r="N161" i="7"/>
  <c r="N160" i="7"/>
  <c r="N159" i="7"/>
  <c r="N158" i="7"/>
  <c r="N157" i="7"/>
  <c r="N156" i="7"/>
  <c r="N155" i="7"/>
  <c r="N154" i="7"/>
  <c r="N153" i="7"/>
  <c r="N152" i="7"/>
  <c r="N151" i="7"/>
  <c r="N150" i="7"/>
  <c r="N149" i="7"/>
  <c r="N148" i="7"/>
  <c r="N147" i="7"/>
  <c r="N146" i="7"/>
  <c r="N145" i="7"/>
  <c r="N144" i="7"/>
  <c r="N143" i="7"/>
  <c r="N142" i="7"/>
  <c r="N140" i="7"/>
  <c r="N139" i="7"/>
  <c r="N136" i="7"/>
  <c r="N135" i="7"/>
  <c r="N134" i="7"/>
  <c r="N133" i="7"/>
  <c r="N132" i="7"/>
  <c r="N131" i="7"/>
  <c r="N130" i="7"/>
  <c r="N121" i="7"/>
  <c r="N120" i="7"/>
  <c r="N119" i="7"/>
  <c r="N118" i="7"/>
  <c r="N117" i="7"/>
  <c r="N116" i="7"/>
  <c r="N115" i="7"/>
  <c r="N111" i="7"/>
  <c r="N106" i="7"/>
  <c r="N105" i="7"/>
  <c r="N104" i="7"/>
  <c r="N103" i="7"/>
  <c r="N102" i="7"/>
  <c r="N101" i="7"/>
  <c r="N100" i="7"/>
  <c r="N99" i="7"/>
  <c r="N98" i="7"/>
  <c r="N97" i="7"/>
  <c r="N96" i="7"/>
  <c r="N95" i="7"/>
  <c r="N94" i="7"/>
  <c r="N93" i="7"/>
  <c r="N92" i="7"/>
  <c r="N91" i="7"/>
  <c r="N89" i="7"/>
  <c r="N88" i="7"/>
  <c r="N87" i="7"/>
  <c r="N86" i="7"/>
  <c r="N85" i="7"/>
  <c r="N81" i="7"/>
  <c r="N80" i="7"/>
  <c r="N76" i="7"/>
  <c r="N75" i="7"/>
  <c r="N74" i="7"/>
  <c r="N73" i="7"/>
  <c r="N69" i="7"/>
  <c r="N68" i="7"/>
  <c r="N62" i="7"/>
  <c r="N58" i="7"/>
  <c r="N57" i="7"/>
  <c r="N56" i="7"/>
  <c r="N55" i="7"/>
  <c r="N54" i="7"/>
  <c r="N53" i="7"/>
  <c r="N52" i="7"/>
  <c r="N51" i="7"/>
  <c r="N50" i="7"/>
  <c r="N49" i="7"/>
  <c r="N45" i="7"/>
  <c r="N44" i="7"/>
  <c r="N43" i="7"/>
  <c r="N42" i="7"/>
  <c r="N41" i="7"/>
  <c r="N40" i="7"/>
  <c r="N244" i="8"/>
  <c r="N238" i="8"/>
  <c r="N237" i="8"/>
  <c r="N236" i="8"/>
  <c r="N231" i="8"/>
  <c r="N230" i="8"/>
  <c r="N228" i="8"/>
  <c r="N225" i="8"/>
  <c r="N224" i="8"/>
  <c r="N221" i="8"/>
  <c r="N220" i="8"/>
  <c r="N211" i="8"/>
  <c r="N210" i="8"/>
  <c r="N200" i="8"/>
  <c r="N199" i="8"/>
  <c r="N151" i="8"/>
  <c r="N81" i="8"/>
  <c r="N80" i="8"/>
  <c r="N45" i="8"/>
  <c r="N44" i="8"/>
  <c r="N43" i="8"/>
  <c r="N42" i="8"/>
  <c r="N41" i="8"/>
  <c r="N40" i="8"/>
  <c r="N244" i="9"/>
  <c r="N238" i="9"/>
  <c r="N237" i="9"/>
  <c r="N236" i="9"/>
  <c r="N231" i="9"/>
  <c r="N230" i="9"/>
  <c r="N228" i="9"/>
  <c r="N225" i="9"/>
  <c r="N224" i="9"/>
  <c r="N221" i="9"/>
  <c r="N220" i="9"/>
  <c r="N211" i="9"/>
  <c r="N210" i="9"/>
  <c r="N200" i="9"/>
  <c r="N199" i="9"/>
  <c r="N151" i="9"/>
  <c r="N81" i="9"/>
  <c r="N80" i="9"/>
  <c r="N43" i="9"/>
  <c r="N42" i="9"/>
  <c r="N81" i="3"/>
  <c r="N80" i="3"/>
  <c r="N43" i="3"/>
  <c r="N42" i="3"/>
  <c r="N41" i="3"/>
  <c r="N142" i="3"/>
  <c r="N151" i="3"/>
  <c r="N199" i="3"/>
  <c r="N200" i="3"/>
  <c r="N210" i="3"/>
  <c r="N211" i="3"/>
  <c r="N220" i="3"/>
  <c r="N221" i="3"/>
  <c r="N224" i="3"/>
  <c r="N225" i="3"/>
  <c r="N228" i="3"/>
  <c r="N230" i="3"/>
  <c r="N231" i="3"/>
  <c r="N236" i="3"/>
  <c r="N237" i="3"/>
  <c r="N238" i="3"/>
  <c r="N244" i="3"/>
  <c r="I174" i="3"/>
  <c r="K243" i="2"/>
  <c r="J243" i="2"/>
  <c r="K243" i="4"/>
  <c r="J243" i="4"/>
  <c r="K243" i="5"/>
  <c r="J243" i="5"/>
  <c r="K243" i="6"/>
  <c r="J243" i="6"/>
  <c r="K243" i="7"/>
  <c r="J243" i="7"/>
  <c r="K141" i="4"/>
  <c r="J141" i="4"/>
  <c r="N141" i="4" s="1"/>
  <c r="K141" i="5"/>
  <c r="J141" i="5"/>
  <c r="N141" i="5" s="1"/>
  <c r="K141" i="6"/>
  <c r="J141" i="6"/>
  <c r="N141" i="6" s="1"/>
  <c r="K141" i="7"/>
  <c r="J141" i="7"/>
  <c r="N141" i="7" s="1"/>
  <c r="K141" i="9"/>
  <c r="J141" i="9"/>
  <c r="N141" i="9" s="1"/>
  <c r="J241" i="6"/>
  <c r="J249" i="6"/>
  <c r="L255" i="6"/>
  <c r="J241" i="7"/>
  <c r="H21" i="17"/>
  <c r="H15" i="17"/>
  <c r="G15" i="17"/>
  <c r="E15" i="17"/>
  <c r="D15" i="17"/>
  <c r="C15" i="17"/>
  <c r="H13" i="17"/>
  <c r="G13" i="17"/>
  <c r="D13" i="17"/>
  <c r="C13" i="17"/>
  <c r="R11" i="17"/>
  <c r="H11" i="17"/>
  <c r="G11" i="17"/>
  <c r="D11" i="17"/>
  <c r="C11" i="17"/>
  <c r="R14" i="17"/>
  <c r="Q14" i="17"/>
  <c r="P14" i="17"/>
  <c r="O14" i="17"/>
  <c r="N14" i="17"/>
  <c r="M14" i="17"/>
  <c r="L14" i="17"/>
  <c r="K14" i="17"/>
  <c r="R12" i="17"/>
  <c r="Q12" i="17"/>
  <c r="P12" i="17"/>
  <c r="O12" i="17"/>
  <c r="N12" i="17"/>
  <c r="M12" i="17"/>
  <c r="L12" i="17"/>
  <c r="K12" i="17"/>
  <c r="R10" i="17"/>
  <c r="Q10" i="17"/>
  <c r="P10" i="17"/>
  <c r="O10" i="17"/>
  <c r="N10" i="17"/>
  <c r="M10" i="17"/>
  <c r="L10" i="17"/>
  <c r="K10" i="17"/>
  <c r="I12" i="17" l="1"/>
  <c r="I14" i="17"/>
  <c r="I10" i="17"/>
  <c r="J149" i="8" l="1"/>
  <c r="N149" i="8" s="1"/>
  <c r="J150" i="3"/>
  <c r="N150" i="3" s="1"/>
  <c r="J149" i="3"/>
  <c r="N149" i="3" s="1"/>
  <c r="I103" i="3"/>
  <c r="J103" i="3" s="1"/>
  <c r="N103" i="3" s="1"/>
  <c r="K249" i="9"/>
  <c r="J249" i="9"/>
  <c r="J241" i="8"/>
  <c r="N241" i="8" s="1"/>
  <c r="K248" i="8"/>
  <c r="J248" i="8"/>
  <c r="J148" i="5"/>
  <c r="K251" i="9"/>
  <c r="K250" i="9"/>
  <c r="J241" i="9"/>
  <c r="N241" i="9" s="1"/>
  <c r="J250" i="9"/>
  <c r="K241" i="6"/>
  <c r="J248" i="6"/>
  <c r="K251" i="5"/>
  <c r="K250" i="5"/>
  <c r="K249" i="5"/>
  <c r="J255" i="7"/>
  <c r="J254" i="7"/>
  <c r="J253" i="7"/>
  <c r="J152" i="7"/>
  <c r="J40" i="3"/>
  <c r="N40" i="3" s="1"/>
  <c r="J44" i="3"/>
  <c r="N44" i="3" s="1"/>
  <c r="J45" i="3"/>
  <c r="N45" i="3" s="1"/>
  <c r="J46" i="3"/>
  <c r="J11" i="3" s="1"/>
  <c r="J49" i="3"/>
  <c r="N49" i="3" s="1"/>
  <c r="J50" i="3"/>
  <c r="N50" i="3" s="1"/>
  <c r="J51" i="3"/>
  <c r="N51" i="3" s="1"/>
  <c r="J52" i="3"/>
  <c r="N52" i="3" s="1"/>
  <c r="J53" i="3"/>
  <c r="N53" i="3" s="1"/>
  <c r="J54" i="3"/>
  <c r="N54" i="3" s="1"/>
  <c r="J55" i="3"/>
  <c r="N55" i="3" s="1"/>
  <c r="J56" i="3"/>
  <c r="N56" i="3" s="1"/>
  <c r="J57" i="3"/>
  <c r="N57" i="3" s="1"/>
  <c r="J58" i="3"/>
  <c r="N58" i="3" s="1"/>
  <c r="J62" i="3"/>
  <c r="J68" i="3"/>
  <c r="N68" i="3" s="1"/>
  <c r="J69" i="3"/>
  <c r="N69" i="3" s="1"/>
  <c r="J73" i="3"/>
  <c r="J74" i="3"/>
  <c r="N74" i="3" s="1"/>
  <c r="J75" i="3"/>
  <c r="N75" i="3" s="1"/>
  <c r="J76" i="3"/>
  <c r="N76" i="3" s="1"/>
  <c r="J85" i="3"/>
  <c r="N85" i="3" s="1"/>
  <c r="J87" i="3"/>
  <c r="N87" i="3" s="1"/>
  <c r="J88" i="3"/>
  <c r="N88" i="3" s="1"/>
  <c r="J89" i="3"/>
  <c r="N89" i="3" s="1"/>
  <c r="J90" i="3"/>
  <c r="N90" i="3" s="1"/>
  <c r="J91" i="3"/>
  <c r="N91" i="3" s="1"/>
  <c r="J92" i="3"/>
  <c r="N92" i="3" s="1"/>
  <c r="J93" i="3"/>
  <c r="J94" i="3"/>
  <c r="N94" i="3" s="1"/>
  <c r="J95" i="3"/>
  <c r="N95" i="3" s="1"/>
  <c r="J96" i="3"/>
  <c r="N96" i="3" s="1"/>
  <c r="J97" i="3"/>
  <c r="N97" i="3" s="1"/>
  <c r="J98" i="3"/>
  <c r="N98" i="3" s="1"/>
  <c r="J99" i="3"/>
  <c r="N99" i="3" s="1"/>
  <c r="J100" i="3"/>
  <c r="N100" i="3" s="1"/>
  <c r="J101" i="3"/>
  <c r="N101" i="3" s="1"/>
  <c r="J102" i="3"/>
  <c r="N102" i="3" s="1"/>
  <c r="J104" i="3"/>
  <c r="N104" i="3" s="1"/>
  <c r="J105" i="3"/>
  <c r="N105" i="3" s="1"/>
  <c r="J106" i="3"/>
  <c r="N106" i="3" s="1"/>
  <c r="J110" i="3"/>
  <c r="J111" i="3"/>
  <c r="N111" i="3" s="1"/>
  <c r="J117" i="3"/>
  <c r="N117" i="3" s="1"/>
  <c r="J119" i="3"/>
  <c r="N119" i="3" s="1"/>
  <c r="J121" i="3"/>
  <c r="N121" i="3" s="1"/>
  <c r="J130" i="3"/>
  <c r="N130" i="3" s="1"/>
  <c r="J131" i="3"/>
  <c r="N131" i="3" s="1"/>
  <c r="J132" i="3"/>
  <c r="N132" i="3" s="1"/>
  <c r="J133" i="3"/>
  <c r="N133" i="3" s="1"/>
  <c r="J134" i="3"/>
  <c r="N134" i="3" s="1"/>
  <c r="J135" i="3"/>
  <c r="N135" i="3" s="1"/>
  <c r="J139" i="3"/>
  <c r="N139" i="3" s="1"/>
  <c r="J140" i="3"/>
  <c r="N140" i="3" s="1"/>
  <c r="J141" i="3"/>
  <c r="N141" i="3" s="1"/>
  <c r="J143" i="3"/>
  <c r="N143" i="3" s="1"/>
  <c r="J144" i="3"/>
  <c r="N144" i="3" s="1"/>
  <c r="J145" i="3"/>
  <c r="N145" i="3" s="1"/>
  <c r="J146" i="3"/>
  <c r="N146" i="3" s="1"/>
  <c r="J147" i="3"/>
  <c r="N147" i="3" s="1"/>
  <c r="J148" i="3"/>
  <c r="N148" i="3" s="1"/>
  <c r="J152" i="3"/>
  <c r="N152" i="3" s="1"/>
  <c r="J153" i="3"/>
  <c r="N153" i="3" s="1"/>
  <c r="J154" i="3"/>
  <c r="N154" i="3" s="1"/>
  <c r="J155" i="3"/>
  <c r="N155" i="3" s="1"/>
  <c r="J156" i="3"/>
  <c r="N156" i="3" s="1"/>
  <c r="J158" i="3"/>
  <c r="N158" i="3" s="1"/>
  <c r="J159" i="3"/>
  <c r="N159" i="3" s="1"/>
  <c r="J160" i="3"/>
  <c r="N160" i="3" s="1"/>
  <c r="J161" i="3"/>
  <c r="N161" i="3" s="1"/>
  <c r="J162" i="3"/>
  <c r="N162" i="3" s="1"/>
  <c r="J163" i="3"/>
  <c r="N163" i="3" s="1"/>
  <c r="J164" i="3"/>
  <c r="N164" i="3" s="1"/>
  <c r="J165" i="3"/>
  <c r="N165" i="3" s="1"/>
  <c r="J166" i="3"/>
  <c r="N166" i="3" s="1"/>
  <c r="J167" i="3"/>
  <c r="N167" i="3" s="1"/>
  <c r="J168" i="3"/>
  <c r="N168" i="3" s="1"/>
  <c r="J169" i="3"/>
  <c r="N169" i="3" s="1"/>
  <c r="J170" i="3"/>
  <c r="N170" i="3" s="1"/>
  <c r="J171" i="3"/>
  <c r="N171" i="3" s="1"/>
  <c r="J172" i="3"/>
  <c r="N172" i="3" s="1"/>
  <c r="J173" i="3"/>
  <c r="N173" i="3" s="1"/>
  <c r="J174" i="3"/>
  <c r="N174" i="3" s="1"/>
  <c r="J175" i="3"/>
  <c r="N175" i="3" s="1"/>
  <c r="J176" i="3"/>
  <c r="N176" i="3" s="1"/>
  <c r="J177" i="3"/>
  <c r="N177" i="3" s="1"/>
  <c r="J178" i="3"/>
  <c r="N178" i="3" s="1"/>
  <c r="J179" i="3"/>
  <c r="N179" i="3" s="1"/>
  <c r="J180" i="3"/>
  <c r="N180" i="3" s="1"/>
  <c r="J181" i="3"/>
  <c r="N181" i="3" s="1"/>
  <c r="J182" i="3"/>
  <c r="N182" i="3" s="1"/>
  <c r="J183" i="3"/>
  <c r="N183" i="3" s="1"/>
  <c r="J184" i="3"/>
  <c r="N184" i="3" s="1"/>
  <c r="J186" i="3"/>
  <c r="N186" i="3" s="1"/>
  <c r="J187" i="3"/>
  <c r="N187" i="3" s="1"/>
  <c r="J188" i="3"/>
  <c r="N188" i="3" s="1"/>
  <c r="J189" i="3"/>
  <c r="N189" i="3" s="1"/>
  <c r="J190" i="3"/>
  <c r="N190" i="3" s="1"/>
  <c r="J191" i="3"/>
  <c r="N191" i="3" s="1"/>
  <c r="J192" i="3"/>
  <c r="N192" i="3" s="1"/>
  <c r="J193" i="3"/>
  <c r="N193" i="3" s="1"/>
  <c r="J194" i="3"/>
  <c r="N194" i="3" s="1"/>
  <c r="J195" i="3"/>
  <c r="N195" i="3" s="1"/>
  <c r="J196" i="3"/>
  <c r="N196" i="3" s="1"/>
  <c r="J197" i="3"/>
  <c r="N197" i="3" s="1"/>
  <c r="J201" i="3"/>
  <c r="N201" i="3" s="1"/>
  <c r="J202" i="3"/>
  <c r="N202" i="3" s="1"/>
  <c r="J203" i="3"/>
  <c r="N203" i="3" s="1"/>
  <c r="J204" i="3"/>
  <c r="N204" i="3" s="1"/>
  <c r="J205" i="3"/>
  <c r="N205" i="3" s="1"/>
  <c r="J206" i="3"/>
  <c r="J207" i="3"/>
  <c r="N207" i="3" s="1"/>
  <c r="J208" i="3"/>
  <c r="N208" i="3" s="1"/>
  <c r="J212" i="3"/>
  <c r="N212" i="3" s="1"/>
  <c r="J213" i="3"/>
  <c r="N213" i="3" s="1"/>
  <c r="J214" i="3"/>
  <c r="N214" i="3" s="1"/>
  <c r="J215" i="3"/>
  <c r="N215" i="3" s="1"/>
  <c r="J216" i="3"/>
  <c r="N216" i="3" s="1"/>
  <c r="J217" i="3"/>
  <c r="N217" i="3" s="1"/>
  <c r="J218" i="3"/>
  <c r="N218" i="3" s="1"/>
  <c r="J222" i="3"/>
  <c r="N222" i="3" s="1"/>
  <c r="J226" i="3"/>
  <c r="J232" i="3"/>
  <c r="J233" i="3"/>
  <c r="N233" i="3" s="1"/>
  <c r="J234" i="3"/>
  <c r="N234" i="3" s="1"/>
  <c r="J239" i="3"/>
  <c r="N239" i="3" s="1"/>
  <c r="J240" i="3"/>
  <c r="N240" i="3" s="1"/>
  <c r="J241" i="3"/>
  <c r="N241" i="3" s="1"/>
  <c r="J242" i="3"/>
  <c r="N242" i="3" s="1"/>
  <c r="I8" i="13"/>
  <c r="K14" i="16"/>
  <c r="L14" i="16"/>
  <c r="M14" i="16"/>
  <c r="N14" i="16"/>
  <c r="O14" i="16"/>
  <c r="P14" i="16"/>
  <c r="Q14" i="16"/>
  <c r="R14" i="16"/>
  <c r="K15" i="16"/>
  <c r="L15" i="16"/>
  <c r="M15" i="16"/>
  <c r="N15" i="16"/>
  <c r="O15" i="16"/>
  <c r="P15" i="16"/>
  <c r="Q15" i="16"/>
  <c r="R15" i="16"/>
  <c r="K16" i="16"/>
  <c r="L16" i="16"/>
  <c r="M16" i="16"/>
  <c r="N16" i="16"/>
  <c r="O16" i="16"/>
  <c r="P16" i="16"/>
  <c r="Q16" i="16"/>
  <c r="R16" i="16"/>
  <c r="K18" i="16"/>
  <c r="L18" i="16"/>
  <c r="M18" i="16"/>
  <c r="N18" i="16"/>
  <c r="O18" i="16"/>
  <c r="P18" i="16"/>
  <c r="Q18" i="16"/>
  <c r="R18" i="16"/>
  <c r="K19" i="16"/>
  <c r="L19" i="16"/>
  <c r="M19" i="16"/>
  <c r="N19" i="16"/>
  <c r="O19" i="16"/>
  <c r="P19" i="16"/>
  <c r="Q19" i="16"/>
  <c r="R19" i="16"/>
  <c r="K22" i="16"/>
  <c r="L22" i="16"/>
  <c r="M22" i="16"/>
  <c r="N22" i="16"/>
  <c r="O22" i="16"/>
  <c r="P22" i="16"/>
  <c r="Q22" i="16"/>
  <c r="R22" i="16"/>
  <c r="K29" i="16"/>
  <c r="I29" i="16" s="1"/>
  <c r="L29" i="16"/>
  <c r="M29" i="16"/>
  <c r="N29" i="16"/>
  <c r="O29" i="16"/>
  <c r="P29" i="16"/>
  <c r="Q29" i="16"/>
  <c r="R29" i="16"/>
  <c r="K31" i="16"/>
  <c r="L31" i="16"/>
  <c r="M31" i="16"/>
  <c r="N31" i="16"/>
  <c r="O31" i="16"/>
  <c r="P31" i="16"/>
  <c r="Q31" i="16"/>
  <c r="R31" i="16"/>
  <c r="K33" i="16"/>
  <c r="L33" i="16"/>
  <c r="M33" i="16"/>
  <c r="N33" i="16"/>
  <c r="O33" i="16"/>
  <c r="P33" i="16"/>
  <c r="Q33" i="16"/>
  <c r="R33" i="16"/>
  <c r="K35" i="16"/>
  <c r="L35" i="16"/>
  <c r="M35" i="16"/>
  <c r="N35" i="16"/>
  <c r="O35" i="16"/>
  <c r="P35" i="16"/>
  <c r="Q35" i="16"/>
  <c r="R35" i="16"/>
  <c r="K36" i="16"/>
  <c r="L36" i="16"/>
  <c r="M36" i="16"/>
  <c r="N36" i="16"/>
  <c r="O36" i="16"/>
  <c r="P36" i="16"/>
  <c r="Q36" i="16"/>
  <c r="R36" i="16"/>
  <c r="K37" i="16"/>
  <c r="I37" i="16" s="1"/>
  <c r="L37" i="16"/>
  <c r="M37" i="16"/>
  <c r="N37" i="16"/>
  <c r="O37" i="16"/>
  <c r="P37" i="16"/>
  <c r="Q37" i="16"/>
  <c r="R37" i="16"/>
  <c r="K38" i="16"/>
  <c r="L38" i="16"/>
  <c r="M38" i="16"/>
  <c r="N38" i="16"/>
  <c r="O38" i="16"/>
  <c r="P38" i="16"/>
  <c r="Q38" i="16"/>
  <c r="R38" i="16"/>
  <c r="M39" i="16"/>
  <c r="R39" i="16"/>
  <c r="K40" i="16"/>
  <c r="M40" i="16"/>
  <c r="R40" i="16"/>
  <c r="K41" i="16"/>
  <c r="L41" i="16"/>
  <c r="M41" i="16"/>
  <c r="N41" i="16"/>
  <c r="O41" i="16"/>
  <c r="P41" i="16"/>
  <c r="Q41" i="16"/>
  <c r="R41" i="16"/>
  <c r="K42" i="16"/>
  <c r="L42" i="16"/>
  <c r="M42" i="16"/>
  <c r="N42" i="16"/>
  <c r="O42" i="16"/>
  <c r="P42" i="16"/>
  <c r="Q42" i="16"/>
  <c r="R42" i="16"/>
  <c r="M43" i="16"/>
  <c r="N43" i="16"/>
  <c r="O43" i="16"/>
  <c r="P43" i="16"/>
  <c r="Q43" i="16"/>
  <c r="R43" i="16"/>
  <c r="M44" i="16"/>
  <c r="K46" i="16"/>
  <c r="L46" i="16"/>
  <c r="M46" i="16"/>
  <c r="N46" i="16"/>
  <c r="O46" i="16"/>
  <c r="P46" i="16"/>
  <c r="Q46" i="16"/>
  <c r="R46" i="16"/>
  <c r="K47" i="16"/>
  <c r="L47" i="16"/>
  <c r="M47" i="16"/>
  <c r="N47" i="16"/>
  <c r="O47" i="16"/>
  <c r="P47" i="16"/>
  <c r="Q47" i="16"/>
  <c r="R47" i="16"/>
  <c r="K59" i="16"/>
  <c r="L59" i="16"/>
  <c r="M59" i="16"/>
  <c r="N59" i="16"/>
  <c r="O59" i="16"/>
  <c r="P59" i="16"/>
  <c r="Q59" i="16"/>
  <c r="R59" i="16"/>
  <c r="K60" i="16"/>
  <c r="L60" i="16"/>
  <c r="M60" i="16"/>
  <c r="N60" i="16"/>
  <c r="O60" i="16"/>
  <c r="P60" i="16"/>
  <c r="Q60" i="16"/>
  <c r="R60" i="16"/>
  <c r="K63" i="16"/>
  <c r="L63" i="16"/>
  <c r="M63" i="16"/>
  <c r="N63" i="16"/>
  <c r="O63" i="16"/>
  <c r="P63" i="16"/>
  <c r="Q63" i="16"/>
  <c r="R63" i="16"/>
  <c r="K65" i="16"/>
  <c r="L65" i="16"/>
  <c r="M65" i="16"/>
  <c r="N65" i="16"/>
  <c r="O65" i="16"/>
  <c r="P65" i="16"/>
  <c r="Q65" i="16"/>
  <c r="R65" i="16"/>
  <c r="K66" i="16"/>
  <c r="L66" i="16"/>
  <c r="M66" i="16"/>
  <c r="N66" i="16"/>
  <c r="O66" i="16"/>
  <c r="P66" i="16"/>
  <c r="Q66" i="16"/>
  <c r="R66" i="16"/>
  <c r="K69" i="16"/>
  <c r="L69" i="16"/>
  <c r="M69" i="16"/>
  <c r="N69" i="16"/>
  <c r="O69" i="16"/>
  <c r="P69" i="16"/>
  <c r="Q69" i="16"/>
  <c r="R69" i="16"/>
  <c r="K70" i="16"/>
  <c r="L70" i="16"/>
  <c r="M70" i="16"/>
  <c r="N70" i="16"/>
  <c r="O70" i="16"/>
  <c r="P70" i="16"/>
  <c r="Q70" i="16"/>
  <c r="R70" i="16"/>
  <c r="K71" i="16"/>
  <c r="L71" i="16"/>
  <c r="M71" i="16"/>
  <c r="N71" i="16"/>
  <c r="O71" i="16"/>
  <c r="P71" i="16"/>
  <c r="Q71" i="16"/>
  <c r="R71" i="16"/>
  <c r="K77" i="16"/>
  <c r="L77" i="16"/>
  <c r="M77" i="16"/>
  <c r="N77" i="16"/>
  <c r="O77" i="16"/>
  <c r="P77" i="16"/>
  <c r="Q77" i="16"/>
  <c r="R77" i="16"/>
  <c r="K78" i="16"/>
  <c r="L78" i="16"/>
  <c r="M78" i="16"/>
  <c r="N78" i="16"/>
  <c r="O78" i="16"/>
  <c r="P78" i="16"/>
  <c r="Q78" i="16"/>
  <c r="R78" i="16"/>
  <c r="K79" i="16"/>
  <c r="L79" i="16"/>
  <c r="M79" i="16"/>
  <c r="N79" i="16"/>
  <c r="O79" i="16"/>
  <c r="P79" i="16"/>
  <c r="Q79" i="16"/>
  <c r="R79" i="16"/>
  <c r="K80" i="16"/>
  <c r="L80" i="16"/>
  <c r="M80" i="16"/>
  <c r="N80" i="16"/>
  <c r="O80" i="16"/>
  <c r="P80" i="16"/>
  <c r="Q80" i="16"/>
  <c r="R80" i="16"/>
  <c r="K81" i="16"/>
  <c r="L81" i="16"/>
  <c r="M81" i="16"/>
  <c r="N81" i="16"/>
  <c r="O81" i="16"/>
  <c r="P81" i="16"/>
  <c r="Q81" i="16"/>
  <c r="R81" i="16"/>
  <c r="K82" i="16"/>
  <c r="L82" i="16"/>
  <c r="M82" i="16"/>
  <c r="N82" i="16"/>
  <c r="O82" i="16"/>
  <c r="P82" i="16"/>
  <c r="Q82" i="16"/>
  <c r="R82" i="16"/>
  <c r="K83" i="16"/>
  <c r="L83" i="16"/>
  <c r="M83" i="16"/>
  <c r="N83" i="16"/>
  <c r="O83" i="16"/>
  <c r="P83" i="16"/>
  <c r="Q83" i="16"/>
  <c r="R83" i="16"/>
  <c r="K107" i="16"/>
  <c r="L107" i="16"/>
  <c r="M107" i="16"/>
  <c r="N107" i="16"/>
  <c r="O107" i="16"/>
  <c r="P107" i="16"/>
  <c r="Q107" i="16"/>
  <c r="R107" i="16"/>
  <c r="K108" i="16"/>
  <c r="L108" i="16"/>
  <c r="M108" i="16"/>
  <c r="N108" i="16"/>
  <c r="O108" i="16"/>
  <c r="P108" i="16"/>
  <c r="Q108" i="16"/>
  <c r="R108" i="16"/>
  <c r="K112" i="16"/>
  <c r="L112" i="16"/>
  <c r="M112" i="16"/>
  <c r="N112" i="16"/>
  <c r="O112" i="16"/>
  <c r="P112" i="16"/>
  <c r="Q112" i="16"/>
  <c r="R112" i="16"/>
  <c r="K113" i="16"/>
  <c r="L113" i="16"/>
  <c r="M113" i="16"/>
  <c r="N113" i="16"/>
  <c r="O113" i="16"/>
  <c r="P113" i="16"/>
  <c r="Q113" i="16"/>
  <c r="R113" i="16"/>
  <c r="K123" i="16"/>
  <c r="L123" i="16"/>
  <c r="M123" i="16"/>
  <c r="N123" i="16"/>
  <c r="O123" i="16"/>
  <c r="P123" i="16"/>
  <c r="Q123" i="16"/>
  <c r="R123" i="16"/>
  <c r="K125" i="16"/>
  <c r="L125" i="16"/>
  <c r="M125" i="16"/>
  <c r="N125" i="16"/>
  <c r="O125" i="16"/>
  <c r="P125" i="16"/>
  <c r="Q125" i="16"/>
  <c r="R125" i="16"/>
  <c r="K127" i="16"/>
  <c r="L127" i="16"/>
  <c r="M127" i="16"/>
  <c r="N127" i="16"/>
  <c r="O127" i="16"/>
  <c r="P127" i="16"/>
  <c r="Q127" i="16"/>
  <c r="R127" i="16"/>
  <c r="K128" i="16"/>
  <c r="L128" i="16"/>
  <c r="M128" i="16"/>
  <c r="N128" i="16"/>
  <c r="O128" i="16"/>
  <c r="P128" i="16"/>
  <c r="Q128" i="16"/>
  <c r="R128" i="16"/>
  <c r="K136" i="16"/>
  <c r="L136" i="16"/>
  <c r="M136" i="16"/>
  <c r="N136" i="16"/>
  <c r="O136" i="16"/>
  <c r="P136" i="16"/>
  <c r="Q136" i="16"/>
  <c r="R136" i="16"/>
  <c r="K137" i="16"/>
  <c r="L137" i="16"/>
  <c r="M137" i="16"/>
  <c r="N137" i="16"/>
  <c r="O137" i="16"/>
  <c r="P137" i="16"/>
  <c r="Q137" i="16"/>
  <c r="R137" i="16"/>
  <c r="K198" i="16"/>
  <c r="L198" i="16"/>
  <c r="M198" i="16"/>
  <c r="N198" i="16"/>
  <c r="O198" i="16"/>
  <c r="P198" i="16"/>
  <c r="Q198" i="16"/>
  <c r="R198" i="16"/>
  <c r="K199" i="16"/>
  <c r="L199" i="16"/>
  <c r="M199" i="16"/>
  <c r="N199" i="16"/>
  <c r="O199" i="16"/>
  <c r="P199" i="16"/>
  <c r="Q199" i="16"/>
  <c r="R199" i="16"/>
  <c r="K209" i="16"/>
  <c r="L209" i="16"/>
  <c r="M209" i="16"/>
  <c r="N209" i="16"/>
  <c r="O209" i="16"/>
  <c r="P209" i="16"/>
  <c r="Q209" i="16"/>
  <c r="R209" i="16"/>
  <c r="K210" i="16"/>
  <c r="L210" i="16"/>
  <c r="M210" i="16"/>
  <c r="N210" i="16"/>
  <c r="O210" i="16"/>
  <c r="P210" i="16"/>
  <c r="Q210" i="16"/>
  <c r="R210" i="16"/>
  <c r="K219" i="16"/>
  <c r="L219" i="16"/>
  <c r="M219" i="16"/>
  <c r="N219" i="16"/>
  <c r="O219" i="16"/>
  <c r="P219" i="16"/>
  <c r="Q219" i="16"/>
  <c r="R219" i="16"/>
  <c r="K220" i="16"/>
  <c r="L220" i="16"/>
  <c r="M220" i="16"/>
  <c r="N220" i="16"/>
  <c r="O220" i="16"/>
  <c r="P220" i="16"/>
  <c r="Q220" i="16"/>
  <c r="R220" i="16"/>
  <c r="K223" i="16"/>
  <c r="L223" i="16"/>
  <c r="M223" i="16"/>
  <c r="N223" i="16"/>
  <c r="O223" i="16"/>
  <c r="P223" i="16"/>
  <c r="Q223" i="16"/>
  <c r="R223" i="16"/>
  <c r="K224" i="16"/>
  <c r="L224" i="16"/>
  <c r="M224" i="16"/>
  <c r="N224" i="16"/>
  <c r="O224" i="16"/>
  <c r="P224" i="16"/>
  <c r="Q224" i="16"/>
  <c r="R224" i="16"/>
  <c r="K227" i="16"/>
  <c r="L227" i="16"/>
  <c r="M227" i="16"/>
  <c r="N227" i="16"/>
  <c r="O227" i="16"/>
  <c r="P227" i="16"/>
  <c r="Q227" i="16"/>
  <c r="R227" i="16"/>
  <c r="K229" i="16"/>
  <c r="L229" i="16"/>
  <c r="M229" i="16"/>
  <c r="N229" i="16"/>
  <c r="O229" i="16"/>
  <c r="P229" i="16"/>
  <c r="Q229" i="16"/>
  <c r="R229" i="16"/>
  <c r="K230" i="16"/>
  <c r="L230" i="16"/>
  <c r="M230" i="16"/>
  <c r="N230" i="16"/>
  <c r="O230" i="16"/>
  <c r="P230" i="16"/>
  <c r="Q230" i="16"/>
  <c r="R230" i="16"/>
  <c r="K235" i="16"/>
  <c r="L235" i="16"/>
  <c r="M235" i="16"/>
  <c r="N235" i="16"/>
  <c r="O235" i="16"/>
  <c r="P235" i="16"/>
  <c r="Q235" i="16"/>
  <c r="R235" i="16"/>
  <c r="K236" i="16"/>
  <c r="L236" i="16"/>
  <c r="M236" i="16"/>
  <c r="O236" i="16"/>
  <c r="P236" i="16"/>
  <c r="Q236" i="16"/>
  <c r="R236" i="16"/>
  <c r="K237" i="16"/>
  <c r="L237" i="16"/>
  <c r="M237" i="16"/>
  <c r="N237" i="16"/>
  <c r="O237" i="16"/>
  <c r="P237" i="16"/>
  <c r="Q237" i="16"/>
  <c r="R237" i="16"/>
  <c r="K243" i="16"/>
  <c r="L243" i="16"/>
  <c r="M243" i="16"/>
  <c r="N243" i="16"/>
  <c r="O243" i="16"/>
  <c r="P243" i="16"/>
  <c r="Q243" i="16"/>
  <c r="R243" i="16"/>
  <c r="I77" i="16"/>
  <c r="P18" i="15"/>
  <c r="P19" i="15"/>
  <c r="P22" i="15"/>
  <c r="P29" i="15"/>
  <c r="P31" i="15"/>
  <c r="P33" i="15"/>
  <c r="P35" i="15"/>
  <c r="P36" i="15"/>
  <c r="P37" i="15"/>
  <c r="P38" i="15"/>
  <c r="P41" i="15"/>
  <c r="P42" i="15"/>
  <c r="P43" i="15"/>
  <c r="P46" i="15"/>
  <c r="P47" i="15"/>
  <c r="P59" i="15"/>
  <c r="P60" i="15"/>
  <c r="P63" i="15"/>
  <c r="P65" i="15"/>
  <c r="P66" i="15"/>
  <c r="P69" i="15"/>
  <c r="P70" i="15"/>
  <c r="P71" i="15"/>
  <c r="P77" i="15"/>
  <c r="P78" i="15"/>
  <c r="P79" i="15"/>
  <c r="P80" i="15"/>
  <c r="P81" i="15"/>
  <c r="P82" i="15"/>
  <c r="P83" i="15"/>
  <c r="P107" i="15"/>
  <c r="P108" i="15"/>
  <c r="P112" i="15"/>
  <c r="P113" i="15"/>
  <c r="P123" i="15"/>
  <c r="P125" i="15"/>
  <c r="P127" i="15"/>
  <c r="P128" i="15"/>
  <c r="P136" i="15"/>
  <c r="P137" i="15"/>
  <c r="P198" i="15"/>
  <c r="P199" i="15"/>
  <c r="P209" i="15"/>
  <c r="P210" i="15"/>
  <c r="P219" i="15"/>
  <c r="P220" i="15"/>
  <c r="P223" i="15"/>
  <c r="P224" i="15"/>
  <c r="P227" i="15"/>
  <c r="P229" i="15"/>
  <c r="P230" i="15"/>
  <c r="P235" i="15"/>
  <c r="P236" i="15"/>
  <c r="P237" i="15"/>
  <c r="P243" i="15"/>
  <c r="P16" i="15"/>
  <c r="P15" i="15"/>
  <c r="P14" i="15"/>
  <c r="L14" i="15"/>
  <c r="M14" i="15"/>
  <c r="N14" i="15"/>
  <c r="O14" i="15"/>
  <c r="Q14" i="15"/>
  <c r="R14" i="15"/>
  <c r="L15" i="15"/>
  <c r="M15" i="15"/>
  <c r="N15" i="15"/>
  <c r="O15" i="15"/>
  <c r="Q15" i="15"/>
  <c r="R15" i="15"/>
  <c r="L16" i="15"/>
  <c r="M16" i="15"/>
  <c r="N16" i="15"/>
  <c r="O16" i="15"/>
  <c r="Q16" i="15"/>
  <c r="R16" i="15"/>
  <c r="L18" i="15"/>
  <c r="M18" i="15"/>
  <c r="N18" i="15"/>
  <c r="O18" i="15"/>
  <c r="Q18" i="15"/>
  <c r="R18" i="15"/>
  <c r="L19" i="15"/>
  <c r="M19" i="15"/>
  <c r="N19" i="15"/>
  <c r="O19" i="15"/>
  <c r="Q19" i="15"/>
  <c r="R19" i="15"/>
  <c r="L22" i="15"/>
  <c r="M22" i="15"/>
  <c r="N22" i="15"/>
  <c r="O22" i="15"/>
  <c r="Q22" i="15"/>
  <c r="R22" i="15"/>
  <c r="L29" i="15"/>
  <c r="M29" i="15"/>
  <c r="N29" i="15"/>
  <c r="O29" i="15"/>
  <c r="Q29" i="15"/>
  <c r="R29" i="15"/>
  <c r="L31" i="15"/>
  <c r="M31" i="15"/>
  <c r="N31" i="15"/>
  <c r="O31" i="15"/>
  <c r="Q31" i="15"/>
  <c r="R31" i="15"/>
  <c r="L33" i="15"/>
  <c r="M33" i="15"/>
  <c r="N33" i="15"/>
  <c r="O33" i="15"/>
  <c r="Q33" i="15"/>
  <c r="R33" i="15"/>
  <c r="L35" i="15"/>
  <c r="M35" i="15"/>
  <c r="N35" i="15"/>
  <c r="O35" i="15"/>
  <c r="Q35" i="15"/>
  <c r="R35" i="15"/>
  <c r="L36" i="15"/>
  <c r="M36" i="15"/>
  <c r="N36" i="15"/>
  <c r="O36" i="15"/>
  <c r="Q36" i="15"/>
  <c r="R36" i="15"/>
  <c r="L37" i="15"/>
  <c r="M37" i="15"/>
  <c r="N37" i="15"/>
  <c r="O37" i="15"/>
  <c r="Q37" i="15"/>
  <c r="R37" i="15"/>
  <c r="L38" i="15"/>
  <c r="M38" i="15"/>
  <c r="N38" i="15"/>
  <c r="O38" i="15"/>
  <c r="Q38" i="15"/>
  <c r="R38" i="15"/>
  <c r="M39" i="15"/>
  <c r="R39" i="15"/>
  <c r="M40" i="15"/>
  <c r="R40" i="15"/>
  <c r="L41" i="15"/>
  <c r="M41" i="15"/>
  <c r="N41" i="15"/>
  <c r="O41" i="15"/>
  <c r="Q41" i="15"/>
  <c r="R41" i="15"/>
  <c r="L42" i="15"/>
  <c r="M42" i="15"/>
  <c r="N42" i="15"/>
  <c r="O42" i="15"/>
  <c r="Q42" i="15"/>
  <c r="R42" i="15"/>
  <c r="M43" i="15"/>
  <c r="N43" i="15"/>
  <c r="O43" i="15"/>
  <c r="Q43" i="15"/>
  <c r="R43" i="15"/>
  <c r="M44" i="15"/>
  <c r="L46" i="15"/>
  <c r="M46" i="15"/>
  <c r="N46" i="15"/>
  <c r="O46" i="15"/>
  <c r="Q46" i="15"/>
  <c r="R46" i="15"/>
  <c r="L47" i="15"/>
  <c r="M47" i="15"/>
  <c r="N47" i="15"/>
  <c r="O47" i="15"/>
  <c r="Q47" i="15"/>
  <c r="R47" i="15"/>
  <c r="L59" i="15"/>
  <c r="M59" i="15"/>
  <c r="N59" i="15"/>
  <c r="O59" i="15"/>
  <c r="Q59" i="15"/>
  <c r="R59" i="15"/>
  <c r="L60" i="15"/>
  <c r="M60" i="15"/>
  <c r="N60" i="15"/>
  <c r="O60" i="15"/>
  <c r="Q60" i="15"/>
  <c r="R60" i="15"/>
  <c r="L63" i="15"/>
  <c r="M63" i="15"/>
  <c r="N63" i="15"/>
  <c r="O63" i="15"/>
  <c r="Q63" i="15"/>
  <c r="R63" i="15"/>
  <c r="L65" i="15"/>
  <c r="M65" i="15"/>
  <c r="N65" i="15"/>
  <c r="O65" i="15"/>
  <c r="Q65" i="15"/>
  <c r="R65" i="15"/>
  <c r="L66" i="15"/>
  <c r="M66" i="15"/>
  <c r="N66" i="15"/>
  <c r="O66" i="15"/>
  <c r="Q66" i="15"/>
  <c r="R66" i="15"/>
  <c r="L69" i="15"/>
  <c r="M69" i="15"/>
  <c r="N69" i="15"/>
  <c r="O69" i="15"/>
  <c r="Q69" i="15"/>
  <c r="R69" i="15"/>
  <c r="L70" i="15"/>
  <c r="M70" i="15"/>
  <c r="N70" i="15"/>
  <c r="O70" i="15"/>
  <c r="Q70" i="15"/>
  <c r="R70" i="15"/>
  <c r="L71" i="15"/>
  <c r="M71" i="15"/>
  <c r="N71" i="15"/>
  <c r="O71" i="15"/>
  <c r="Q71" i="15"/>
  <c r="R71" i="15"/>
  <c r="L77" i="15"/>
  <c r="M77" i="15"/>
  <c r="N77" i="15"/>
  <c r="O77" i="15"/>
  <c r="Q77" i="15"/>
  <c r="R77" i="15"/>
  <c r="L78" i="15"/>
  <c r="M78" i="15"/>
  <c r="N78" i="15"/>
  <c r="O78" i="15"/>
  <c r="Q78" i="15"/>
  <c r="R78" i="15"/>
  <c r="L79" i="15"/>
  <c r="M79" i="15"/>
  <c r="N79" i="15"/>
  <c r="O79" i="15"/>
  <c r="Q79" i="15"/>
  <c r="R79" i="15"/>
  <c r="L80" i="15"/>
  <c r="M80" i="15"/>
  <c r="N80" i="15"/>
  <c r="O80" i="15"/>
  <c r="Q80" i="15"/>
  <c r="R80" i="15"/>
  <c r="L81" i="15"/>
  <c r="M81" i="15"/>
  <c r="N81" i="15"/>
  <c r="O81" i="15"/>
  <c r="Q81" i="15"/>
  <c r="R81" i="15"/>
  <c r="L82" i="15"/>
  <c r="M82" i="15"/>
  <c r="N82" i="15"/>
  <c r="O82" i="15"/>
  <c r="Q82" i="15"/>
  <c r="R82" i="15"/>
  <c r="L83" i="15"/>
  <c r="M83" i="15"/>
  <c r="N83" i="15"/>
  <c r="O83" i="15"/>
  <c r="Q83" i="15"/>
  <c r="R83" i="15"/>
  <c r="L107" i="15"/>
  <c r="M107" i="15"/>
  <c r="N107" i="15"/>
  <c r="O107" i="15"/>
  <c r="Q107" i="15"/>
  <c r="R107" i="15"/>
  <c r="L108" i="15"/>
  <c r="M108" i="15"/>
  <c r="N108" i="15"/>
  <c r="O108" i="15"/>
  <c r="Q108" i="15"/>
  <c r="R108" i="15"/>
  <c r="L112" i="15"/>
  <c r="M112" i="15"/>
  <c r="N112" i="15"/>
  <c r="O112" i="15"/>
  <c r="Q112" i="15"/>
  <c r="R112" i="15"/>
  <c r="L113" i="15"/>
  <c r="M113" i="15"/>
  <c r="N113" i="15"/>
  <c r="O113" i="15"/>
  <c r="Q113" i="15"/>
  <c r="R113" i="15"/>
  <c r="L123" i="15"/>
  <c r="M123" i="15"/>
  <c r="N123" i="15"/>
  <c r="O123" i="15"/>
  <c r="Q123" i="15"/>
  <c r="R123" i="15"/>
  <c r="L125" i="15"/>
  <c r="M125" i="15"/>
  <c r="N125" i="15"/>
  <c r="O125" i="15"/>
  <c r="Q125" i="15"/>
  <c r="R125" i="15"/>
  <c r="L127" i="15"/>
  <c r="M127" i="15"/>
  <c r="N127" i="15"/>
  <c r="O127" i="15"/>
  <c r="Q127" i="15"/>
  <c r="R127" i="15"/>
  <c r="L128" i="15"/>
  <c r="M128" i="15"/>
  <c r="N128" i="15"/>
  <c r="O128" i="15"/>
  <c r="Q128" i="15"/>
  <c r="R128" i="15"/>
  <c r="L136" i="15"/>
  <c r="M136" i="15"/>
  <c r="N136" i="15"/>
  <c r="O136" i="15"/>
  <c r="Q136" i="15"/>
  <c r="R136" i="15"/>
  <c r="L137" i="15"/>
  <c r="M137" i="15"/>
  <c r="N137" i="15"/>
  <c r="O137" i="15"/>
  <c r="Q137" i="15"/>
  <c r="R137" i="15"/>
  <c r="L198" i="15"/>
  <c r="M198" i="15"/>
  <c r="N198" i="15"/>
  <c r="O198" i="15"/>
  <c r="Q198" i="15"/>
  <c r="R198" i="15"/>
  <c r="L199" i="15"/>
  <c r="M199" i="15"/>
  <c r="N199" i="15"/>
  <c r="O199" i="15"/>
  <c r="Q199" i="15"/>
  <c r="R199" i="15"/>
  <c r="L209" i="15"/>
  <c r="M209" i="15"/>
  <c r="N209" i="15"/>
  <c r="O209" i="15"/>
  <c r="Q209" i="15"/>
  <c r="R209" i="15"/>
  <c r="L210" i="15"/>
  <c r="M210" i="15"/>
  <c r="N210" i="15"/>
  <c r="O210" i="15"/>
  <c r="Q210" i="15"/>
  <c r="R210" i="15"/>
  <c r="L219" i="15"/>
  <c r="M219" i="15"/>
  <c r="N219" i="15"/>
  <c r="O219" i="15"/>
  <c r="Q219" i="15"/>
  <c r="R219" i="15"/>
  <c r="L220" i="15"/>
  <c r="M220" i="15"/>
  <c r="N220" i="15"/>
  <c r="O220" i="15"/>
  <c r="Q220" i="15"/>
  <c r="R220" i="15"/>
  <c r="L223" i="15"/>
  <c r="M223" i="15"/>
  <c r="N223" i="15"/>
  <c r="O223" i="15"/>
  <c r="Q223" i="15"/>
  <c r="R223" i="15"/>
  <c r="L224" i="15"/>
  <c r="M224" i="15"/>
  <c r="N224" i="15"/>
  <c r="O224" i="15"/>
  <c r="Q224" i="15"/>
  <c r="R224" i="15"/>
  <c r="L227" i="15"/>
  <c r="M227" i="15"/>
  <c r="N227" i="15"/>
  <c r="O227" i="15"/>
  <c r="Q227" i="15"/>
  <c r="R227" i="15"/>
  <c r="L229" i="15"/>
  <c r="M229" i="15"/>
  <c r="N229" i="15"/>
  <c r="O229" i="15"/>
  <c r="Q229" i="15"/>
  <c r="R229" i="15"/>
  <c r="L230" i="15"/>
  <c r="M230" i="15"/>
  <c r="N230" i="15"/>
  <c r="O230" i="15"/>
  <c r="Q230" i="15"/>
  <c r="R230" i="15"/>
  <c r="L235" i="15"/>
  <c r="M235" i="15"/>
  <c r="N235" i="15"/>
  <c r="O235" i="15"/>
  <c r="Q235" i="15"/>
  <c r="R235" i="15"/>
  <c r="L236" i="15"/>
  <c r="M236" i="15"/>
  <c r="O236" i="15"/>
  <c r="Q236" i="15"/>
  <c r="R236" i="15"/>
  <c r="L237" i="15"/>
  <c r="M237" i="15"/>
  <c r="N237" i="15"/>
  <c r="O237" i="15"/>
  <c r="Q237" i="15"/>
  <c r="R237" i="15"/>
  <c r="L243" i="15"/>
  <c r="M243" i="15"/>
  <c r="N243" i="15"/>
  <c r="O243" i="15"/>
  <c r="Q243" i="15"/>
  <c r="R243" i="15"/>
  <c r="K41" i="9"/>
  <c r="L40" i="16" s="1"/>
  <c r="J41" i="9"/>
  <c r="I46" i="7"/>
  <c r="K241" i="9" l="1"/>
  <c r="L40" i="15"/>
  <c r="N41" i="9"/>
  <c r="I243" i="16"/>
  <c r="I237" i="16"/>
  <c r="I235" i="16"/>
  <c r="I229" i="16"/>
  <c r="I125" i="16"/>
  <c r="I69" i="16"/>
  <c r="I224" i="16"/>
  <c r="I219" i="16"/>
  <c r="I199" i="16"/>
  <c r="I136" i="16"/>
  <c r="I127" i="16"/>
  <c r="I123" i="16"/>
  <c r="I112" i="16"/>
  <c r="I108" i="16"/>
  <c r="I107" i="16"/>
  <c r="I83" i="16"/>
  <c r="I81" i="16"/>
  <c r="I80" i="16"/>
  <c r="I79" i="16"/>
  <c r="I78" i="16"/>
  <c r="I71" i="16"/>
  <c r="I70" i="16"/>
  <c r="I66" i="16"/>
  <c r="I65" i="16"/>
  <c r="I63" i="16"/>
  <c r="I60" i="16"/>
  <c r="I59" i="16"/>
  <c r="I47" i="16"/>
  <c r="I46" i="16"/>
  <c r="J209" i="3"/>
  <c r="N206" i="3"/>
  <c r="K93" i="3"/>
  <c r="N93" i="3"/>
  <c r="J63" i="3"/>
  <c r="J13" i="3" s="1"/>
  <c r="N62" i="3"/>
  <c r="I230" i="16"/>
  <c r="I227" i="16"/>
  <c r="I223" i="16"/>
  <c r="I220" i="16"/>
  <c r="I210" i="16"/>
  <c r="I209" i="16"/>
  <c r="I198" i="16"/>
  <c r="I137" i="16"/>
  <c r="I128" i="16"/>
  <c r="I113" i="16"/>
  <c r="I82" i="16"/>
  <c r="I36" i="16"/>
  <c r="I33" i="16"/>
  <c r="I19" i="16"/>
  <c r="I15" i="16"/>
  <c r="J235" i="3"/>
  <c r="N235" i="3" s="1"/>
  <c r="N232" i="3"/>
  <c r="J112" i="3"/>
  <c r="N110" i="3"/>
  <c r="J77" i="3"/>
  <c r="J18" i="3" s="1"/>
  <c r="N73" i="3"/>
  <c r="I38" i="16"/>
  <c r="I35" i="16"/>
  <c r="I31" i="16"/>
  <c r="I22" i="16"/>
  <c r="I18" i="16"/>
  <c r="I16" i="16"/>
  <c r="I14" i="16"/>
  <c r="I42" i="16"/>
  <c r="I41" i="16"/>
  <c r="J227" i="3"/>
  <c r="N226" i="3"/>
  <c r="J223" i="3"/>
  <c r="J219" i="3"/>
  <c r="J136" i="3"/>
  <c r="J59" i="3"/>
  <c r="J12" i="3" s="1"/>
  <c r="J14" i="3" s="1"/>
  <c r="N223" i="3" l="1"/>
  <c r="J28" i="3"/>
  <c r="J24" i="3"/>
  <c r="N136" i="3"/>
  <c r="J29" i="3"/>
  <c r="N227" i="3"/>
  <c r="J27" i="3"/>
  <c r="N219" i="3"/>
  <c r="J26" i="3"/>
  <c r="N209" i="3"/>
  <c r="J65" i="3"/>
  <c r="I45" i="7"/>
  <c r="K41" i="7"/>
  <c r="N40" i="16" s="1"/>
  <c r="J41" i="7"/>
  <c r="N40" i="15" s="1"/>
  <c r="I45" i="6"/>
  <c r="K41" i="6"/>
  <c r="O40" i="16" s="1"/>
  <c r="J41" i="6"/>
  <c r="O40" i="15" s="1"/>
  <c r="K41" i="5"/>
  <c r="J41" i="5"/>
  <c r="P40" i="15" s="1"/>
  <c r="I45" i="5"/>
  <c r="I45" i="4"/>
  <c r="K41" i="4"/>
  <c r="Q40" i="16" s="1"/>
  <c r="J41" i="4"/>
  <c r="Q40" i="15" s="1"/>
  <c r="J45" i="2"/>
  <c r="R44" i="15" s="1"/>
  <c r="J45" i="4"/>
  <c r="Q44" i="15" s="1"/>
  <c r="J44" i="4"/>
  <c r="K45" i="4"/>
  <c r="Q44" i="16" s="1"/>
  <c r="K44" i="4"/>
  <c r="K40" i="4"/>
  <c r="Q39" i="16" s="1"/>
  <c r="J40" i="4"/>
  <c r="Q39" i="15" s="1"/>
  <c r="K45" i="5"/>
  <c r="P44" i="16" s="1"/>
  <c r="J45" i="5"/>
  <c r="P44" i="15" s="1"/>
  <c r="K44" i="5"/>
  <c r="J44" i="5"/>
  <c r="K40" i="5"/>
  <c r="P39" i="16" s="1"/>
  <c r="J40" i="5"/>
  <c r="P39" i="15" s="1"/>
  <c r="J45" i="6"/>
  <c r="O44" i="15" s="1"/>
  <c r="K45" i="6"/>
  <c r="O44" i="16" s="1"/>
  <c r="K44" i="6"/>
  <c r="J44" i="6"/>
  <c r="K40" i="6"/>
  <c r="O39" i="16" s="1"/>
  <c r="J40" i="6"/>
  <c r="O39" i="15" s="1"/>
  <c r="K45" i="7"/>
  <c r="N44" i="16" s="1"/>
  <c r="K44" i="7"/>
  <c r="J45" i="7"/>
  <c r="N44" i="15" s="1"/>
  <c r="J44" i="7"/>
  <c r="K40" i="7"/>
  <c r="N39" i="16" s="1"/>
  <c r="J40" i="7"/>
  <c r="N39" i="15" s="1"/>
  <c r="K45" i="2"/>
  <c r="R44" i="16" s="1"/>
  <c r="K44" i="2"/>
  <c r="J44" i="2"/>
  <c r="K40" i="2"/>
  <c r="J40" i="2"/>
  <c r="J242" i="2"/>
  <c r="R241" i="15" s="1"/>
  <c r="J241" i="2"/>
  <c r="J240" i="2"/>
  <c r="J239" i="2"/>
  <c r="J234" i="2"/>
  <c r="J233" i="2"/>
  <c r="J232" i="2"/>
  <c r="J226" i="2"/>
  <c r="J222" i="2"/>
  <c r="J218" i="2"/>
  <c r="R217" i="15" s="1"/>
  <c r="J217" i="2"/>
  <c r="J216" i="2"/>
  <c r="J215" i="2"/>
  <c r="R214" i="15" s="1"/>
  <c r="J214" i="2"/>
  <c r="J213" i="2"/>
  <c r="J212" i="2"/>
  <c r="R211" i="15" s="1"/>
  <c r="J208" i="2"/>
  <c r="J207" i="2"/>
  <c r="J206" i="2"/>
  <c r="J205" i="2"/>
  <c r="R204" i="15" s="1"/>
  <c r="J204" i="2"/>
  <c r="J203" i="2"/>
  <c r="J202" i="2"/>
  <c r="R201" i="15" s="1"/>
  <c r="J201" i="2"/>
  <c r="R200" i="15" s="1"/>
  <c r="J197" i="2"/>
  <c r="J196" i="2"/>
  <c r="J195" i="2"/>
  <c r="J194" i="2"/>
  <c r="J193" i="2"/>
  <c r="J192" i="2"/>
  <c r="J191" i="2"/>
  <c r="J190" i="2"/>
  <c r="R189" i="15" s="1"/>
  <c r="J189" i="2"/>
  <c r="J188" i="2"/>
  <c r="R187" i="15" s="1"/>
  <c r="J187" i="2"/>
  <c r="J186" i="2"/>
  <c r="J185" i="2"/>
  <c r="J184" i="2"/>
  <c r="R183" i="15" s="1"/>
  <c r="J183" i="2"/>
  <c r="J182" i="2"/>
  <c r="J181" i="2"/>
  <c r="J180" i="2"/>
  <c r="J179" i="2"/>
  <c r="J178" i="2"/>
  <c r="J177" i="2"/>
  <c r="J176" i="2"/>
  <c r="R175" i="15" s="1"/>
  <c r="J175" i="2"/>
  <c r="J174" i="2"/>
  <c r="J173" i="2"/>
  <c r="J172" i="2"/>
  <c r="J171" i="2"/>
  <c r="J170" i="2"/>
  <c r="R169" i="15" s="1"/>
  <c r="J169" i="2"/>
  <c r="J168" i="2"/>
  <c r="J167" i="2"/>
  <c r="R166" i="15" s="1"/>
  <c r="J166" i="2"/>
  <c r="J165" i="2"/>
  <c r="J164" i="2"/>
  <c r="J163" i="2"/>
  <c r="J162" i="2"/>
  <c r="J161" i="2"/>
  <c r="J160" i="2"/>
  <c r="J159" i="2"/>
  <c r="J158" i="2"/>
  <c r="R157" i="15" s="1"/>
  <c r="J157" i="2"/>
  <c r="J156" i="2"/>
  <c r="J155" i="2"/>
  <c r="J154" i="2"/>
  <c r="J153" i="2"/>
  <c r="J152" i="2"/>
  <c r="R151" i="15" s="1"/>
  <c r="J151" i="2"/>
  <c r="J150" i="2"/>
  <c r="J149" i="2"/>
  <c r="J148" i="2"/>
  <c r="J147" i="2"/>
  <c r="R146" i="15" s="1"/>
  <c r="J146" i="2"/>
  <c r="J145" i="2"/>
  <c r="J144" i="2"/>
  <c r="J143" i="2"/>
  <c r="J142" i="2"/>
  <c r="R141" i="15" s="1"/>
  <c r="J141" i="2"/>
  <c r="J140" i="2"/>
  <c r="J139" i="2"/>
  <c r="R138" i="15" s="1"/>
  <c r="J135" i="2"/>
  <c r="J134" i="2"/>
  <c r="J133" i="2"/>
  <c r="J132" i="2"/>
  <c r="R131" i="15" s="1"/>
  <c r="J131" i="2"/>
  <c r="J130" i="2"/>
  <c r="J121" i="2"/>
  <c r="J120" i="2"/>
  <c r="J119" i="2"/>
  <c r="J118" i="2"/>
  <c r="J117" i="2"/>
  <c r="J111" i="2"/>
  <c r="J110" i="2"/>
  <c r="J106" i="2"/>
  <c r="J105" i="2"/>
  <c r="J104" i="2"/>
  <c r="J103" i="2"/>
  <c r="J102" i="2"/>
  <c r="J101" i="2"/>
  <c r="J100" i="2"/>
  <c r="R99" i="15" s="1"/>
  <c r="J99" i="2"/>
  <c r="J98" i="2"/>
  <c r="R97" i="15" s="1"/>
  <c r="J97" i="2"/>
  <c r="J96" i="2"/>
  <c r="J95" i="2"/>
  <c r="J94" i="2"/>
  <c r="R93" i="15" s="1"/>
  <c r="J93" i="2"/>
  <c r="J92" i="2"/>
  <c r="J91" i="2"/>
  <c r="J90" i="2"/>
  <c r="J89" i="2"/>
  <c r="J88" i="2"/>
  <c r="J87" i="2"/>
  <c r="J86" i="2"/>
  <c r="R85" i="15" s="1"/>
  <c r="J85" i="2"/>
  <c r="R84" i="15" s="1"/>
  <c r="J76" i="2"/>
  <c r="J75" i="2"/>
  <c r="J74" i="2"/>
  <c r="J73" i="2"/>
  <c r="R72" i="15" s="1"/>
  <c r="J69" i="2"/>
  <c r="J68" i="2"/>
  <c r="J62" i="2"/>
  <c r="J58" i="2"/>
  <c r="J57" i="2"/>
  <c r="J56" i="2"/>
  <c r="J55" i="2"/>
  <c r="J54" i="2"/>
  <c r="J53" i="2"/>
  <c r="J52" i="2"/>
  <c r="J51" i="2"/>
  <c r="J50" i="2"/>
  <c r="J49" i="2"/>
  <c r="J242" i="4"/>
  <c r="J241" i="4"/>
  <c r="J239" i="4"/>
  <c r="J234" i="4"/>
  <c r="Q233" i="15" s="1"/>
  <c r="J233" i="4"/>
  <c r="J232" i="4"/>
  <c r="J226" i="4"/>
  <c r="J222" i="4"/>
  <c r="J218" i="4"/>
  <c r="J217" i="4"/>
  <c r="J216" i="4"/>
  <c r="J213" i="4"/>
  <c r="J212" i="4"/>
  <c r="J208" i="4"/>
  <c r="J207" i="4"/>
  <c r="J206" i="4"/>
  <c r="J205" i="4"/>
  <c r="J204" i="4"/>
  <c r="J203" i="4"/>
  <c r="J202" i="4"/>
  <c r="J201" i="4"/>
  <c r="Q200" i="15" s="1"/>
  <c r="J197" i="4"/>
  <c r="J196" i="4"/>
  <c r="J195" i="4"/>
  <c r="J194" i="4"/>
  <c r="J193" i="4"/>
  <c r="J192" i="4"/>
  <c r="J191" i="4"/>
  <c r="J190" i="4"/>
  <c r="J189" i="4"/>
  <c r="J188" i="4"/>
  <c r="J187" i="4"/>
  <c r="J186" i="4"/>
  <c r="J185" i="4"/>
  <c r="J184" i="4"/>
  <c r="J183" i="4"/>
  <c r="J182" i="4"/>
  <c r="J181" i="4"/>
  <c r="J180" i="4"/>
  <c r="J179" i="4"/>
  <c r="J177" i="4"/>
  <c r="J176" i="4"/>
  <c r="J175" i="4"/>
  <c r="J174" i="4"/>
  <c r="J173" i="4"/>
  <c r="J171" i="4"/>
  <c r="J170" i="4"/>
  <c r="J169" i="4"/>
  <c r="J168" i="4"/>
  <c r="J167" i="4"/>
  <c r="J166" i="4"/>
  <c r="J165" i="4"/>
  <c r="J161" i="4"/>
  <c r="J160" i="4"/>
  <c r="J159" i="4"/>
  <c r="J158" i="4"/>
  <c r="J157" i="4"/>
  <c r="J156" i="4"/>
  <c r="J155" i="4"/>
  <c r="J153" i="4"/>
  <c r="J152" i="4"/>
  <c r="J150" i="4"/>
  <c r="J149" i="4"/>
  <c r="J147" i="4"/>
  <c r="J146" i="4"/>
  <c r="J145" i="4"/>
  <c r="J144" i="4"/>
  <c r="J142" i="4"/>
  <c r="J140" i="4"/>
  <c r="J139" i="4"/>
  <c r="Q138" i="15" s="1"/>
  <c r="J135" i="4"/>
  <c r="J134" i="4"/>
  <c r="J133" i="4"/>
  <c r="J132" i="4"/>
  <c r="J130" i="4"/>
  <c r="Q129" i="15" s="1"/>
  <c r="J121" i="4"/>
  <c r="J120" i="4"/>
  <c r="J119" i="4"/>
  <c r="J117" i="4"/>
  <c r="J111" i="4"/>
  <c r="J110" i="4"/>
  <c r="N110" i="4" s="1"/>
  <c r="J105" i="4"/>
  <c r="J104" i="4"/>
  <c r="J103" i="4"/>
  <c r="J102" i="4"/>
  <c r="J101" i="4"/>
  <c r="J100" i="4"/>
  <c r="J99" i="4"/>
  <c r="J98" i="4"/>
  <c r="J97" i="4"/>
  <c r="J96" i="4"/>
  <c r="J94" i="4"/>
  <c r="J93" i="4"/>
  <c r="J92" i="4"/>
  <c r="J91" i="4"/>
  <c r="J89" i="4"/>
  <c r="J88" i="4"/>
  <c r="J87" i="4"/>
  <c r="J86" i="4"/>
  <c r="J85" i="4"/>
  <c r="Q84" i="15" s="1"/>
  <c r="J76" i="4"/>
  <c r="J75" i="4"/>
  <c r="J74" i="4"/>
  <c r="J73" i="4"/>
  <c r="J69" i="4"/>
  <c r="J68" i="4"/>
  <c r="J58" i="4"/>
  <c r="J57" i="4"/>
  <c r="J56" i="4"/>
  <c r="J55" i="4"/>
  <c r="J53" i="4"/>
  <c r="J52" i="4"/>
  <c r="J51" i="4"/>
  <c r="J50" i="4"/>
  <c r="J49" i="4"/>
  <c r="J242" i="5"/>
  <c r="J241" i="5"/>
  <c r="K241" i="5" s="1"/>
  <c r="J240" i="5"/>
  <c r="J239" i="5"/>
  <c r="J234" i="5"/>
  <c r="P233" i="15" s="1"/>
  <c r="J233" i="5"/>
  <c r="J232" i="5"/>
  <c r="J226" i="5"/>
  <c r="J222" i="5"/>
  <c r="J218" i="5"/>
  <c r="J217" i="5"/>
  <c r="J216" i="5"/>
  <c r="J214" i="5"/>
  <c r="J213" i="5"/>
  <c r="J212" i="5"/>
  <c r="J208" i="5"/>
  <c r="J207" i="5"/>
  <c r="J206" i="5"/>
  <c r="P205" i="15" s="1"/>
  <c r="J205" i="5"/>
  <c r="P204" i="15" s="1"/>
  <c r="J204" i="5"/>
  <c r="J203" i="5"/>
  <c r="J202" i="5"/>
  <c r="J201" i="5"/>
  <c r="J197" i="5"/>
  <c r="J196" i="5"/>
  <c r="P195" i="15" s="1"/>
  <c r="J195" i="5"/>
  <c r="J194" i="5"/>
  <c r="J193" i="5"/>
  <c r="J192" i="5"/>
  <c r="J191" i="5"/>
  <c r="J190" i="5"/>
  <c r="J189" i="5"/>
  <c r="J188" i="5"/>
  <c r="J187" i="5"/>
  <c r="J186" i="5"/>
  <c r="J185" i="5"/>
  <c r="J184" i="5"/>
  <c r="J183" i="5"/>
  <c r="J182" i="5"/>
  <c r="J181" i="5"/>
  <c r="J180" i="5"/>
  <c r="P179" i="15" s="1"/>
  <c r="J179" i="5"/>
  <c r="J177" i="5"/>
  <c r="J176" i="5"/>
  <c r="P175" i="15" s="1"/>
  <c r="J175" i="5"/>
  <c r="J174" i="5"/>
  <c r="J173" i="5"/>
  <c r="J172" i="5"/>
  <c r="J171" i="5"/>
  <c r="J170" i="5"/>
  <c r="J169" i="5"/>
  <c r="J167" i="5"/>
  <c r="J166" i="5"/>
  <c r="J165" i="5"/>
  <c r="J161" i="5"/>
  <c r="J160" i="5"/>
  <c r="J159" i="5"/>
  <c r="J158" i="5"/>
  <c r="J157" i="5"/>
  <c r="J156" i="5"/>
  <c r="J155" i="5"/>
  <c r="J154" i="5"/>
  <c r="J153" i="5"/>
  <c r="J152" i="5"/>
  <c r="J150" i="5"/>
  <c r="J149" i="5"/>
  <c r="J147" i="5"/>
  <c r="J146" i="5"/>
  <c r="J145" i="5"/>
  <c r="J144" i="5"/>
  <c r="J143" i="5"/>
  <c r="J142" i="5"/>
  <c r="J140" i="5"/>
  <c r="J139" i="5"/>
  <c r="P138" i="15" s="1"/>
  <c r="J134" i="5"/>
  <c r="J133" i="5"/>
  <c r="J132" i="5"/>
  <c r="J131" i="5"/>
  <c r="J130" i="5"/>
  <c r="J121" i="5"/>
  <c r="J120" i="5"/>
  <c r="J119" i="5"/>
  <c r="J118" i="5"/>
  <c r="J117" i="5"/>
  <c r="J111" i="5"/>
  <c r="J110" i="5"/>
  <c r="J105" i="5"/>
  <c r="J104" i="5"/>
  <c r="J103" i="5"/>
  <c r="J102" i="5"/>
  <c r="J101" i="5"/>
  <c r="J100" i="5"/>
  <c r="P99" i="15" s="1"/>
  <c r="J99" i="5"/>
  <c r="J98" i="5"/>
  <c r="J97" i="5"/>
  <c r="J96" i="5"/>
  <c r="P95" i="15" s="1"/>
  <c r="J95" i="5"/>
  <c r="J94" i="5"/>
  <c r="P93" i="15" s="1"/>
  <c r="J93" i="5"/>
  <c r="J92" i="5"/>
  <c r="J91" i="5"/>
  <c r="J89" i="5"/>
  <c r="J88" i="5"/>
  <c r="J87" i="5"/>
  <c r="J86" i="5"/>
  <c r="J85" i="5"/>
  <c r="P84" i="15" s="1"/>
  <c r="J76" i="5"/>
  <c r="J74" i="5"/>
  <c r="J73" i="5"/>
  <c r="J69" i="5"/>
  <c r="J68" i="5"/>
  <c r="J58" i="5"/>
  <c r="J56" i="5"/>
  <c r="J55" i="5"/>
  <c r="J54" i="5"/>
  <c r="J53" i="5"/>
  <c r="J51" i="5"/>
  <c r="J50" i="5"/>
  <c r="J49" i="5"/>
  <c r="J242" i="6"/>
  <c r="J240" i="6"/>
  <c r="J239" i="6"/>
  <c r="O238" i="15" s="1"/>
  <c r="J234" i="6"/>
  <c r="J233" i="6"/>
  <c r="J232" i="6"/>
  <c r="J226" i="6"/>
  <c r="J222" i="6"/>
  <c r="J218" i="6"/>
  <c r="J217" i="6"/>
  <c r="J216" i="6"/>
  <c r="J214" i="6"/>
  <c r="K213" i="6"/>
  <c r="O212" i="16" s="1"/>
  <c r="J213" i="6"/>
  <c r="O212" i="15" s="1"/>
  <c r="J212" i="6"/>
  <c r="J208" i="6"/>
  <c r="J207" i="6"/>
  <c r="J206" i="6"/>
  <c r="J205" i="6"/>
  <c r="J204" i="6"/>
  <c r="K203" i="6"/>
  <c r="O202" i="16" s="1"/>
  <c r="J203" i="6"/>
  <c r="O202" i="15" s="1"/>
  <c r="J202" i="6"/>
  <c r="J201" i="6"/>
  <c r="O200" i="15" s="1"/>
  <c r="J197" i="6"/>
  <c r="J196" i="6"/>
  <c r="J195" i="6"/>
  <c r="J194" i="6"/>
  <c r="J193" i="6"/>
  <c r="J192" i="6"/>
  <c r="J191" i="6"/>
  <c r="J190" i="6"/>
  <c r="J189" i="6"/>
  <c r="J188" i="6"/>
  <c r="J187" i="6"/>
  <c r="J186" i="6"/>
  <c r="J185" i="6"/>
  <c r="J184" i="6"/>
  <c r="J183" i="6"/>
  <c r="J182" i="6"/>
  <c r="J181" i="6"/>
  <c r="J180" i="6"/>
  <c r="J178" i="6"/>
  <c r="J177" i="6"/>
  <c r="J176" i="6"/>
  <c r="J174" i="6"/>
  <c r="J173" i="6"/>
  <c r="J172" i="6"/>
  <c r="J171" i="6"/>
  <c r="J170" i="6"/>
  <c r="J169" i="6"/>
  <c r="J168" i="6"/>
  <c r="J167" i="6"/>
  <c r="J166" i="6"/>
  <c r="J165" i="6"/>
  <c r="J163" i="6"/>
  <c r="J161" i="6"/>
  <c r="J160" i="6"/>
  <c r="J158" i="6"/>
  <c r="J157" i="6"/>
  <c r="J156" i="6"/>
  <c r="J155" i="6"/>
  <c r="J154" i="6"/>
  <c r="J153" i="6"/>
  <c r="J150" i="6"/>
  <c r="J149" i="6"/>
  <c r="J146" i="6"/>
  <c r="J145" i="6"/>
  <c r="J144" i="6"/>
  <c r="J143" i="6"/>
  <c r="J142" i="6"/>
  <c r="J140" i="6"/>
  <c r="J139" i="6"/>
  <c r="J135" i="6"/>
  <c r="J134" i="6"/>
  <c r="J133" i="6"/>
  <c r="J132" i="6"/>
  <c r="J131" i="6"/>
  <c r="J130" i="6"/>
  <c r="O129" i="15" s="1"/>
  <c r="J121" i="6"/>
  <c r="J120" i="6"/>
  <c r="J119" i="6"/>
  <c r="J118" i="6"/>
  <c r="J117" i="6"/>
  <c r="J111" i="6"/>
  <c r="J110" i="6"/>
  <c r="N110" i="6" s="1"/>
  <c r="J105" i="6"/>
  <c r="J104" i="6"/>
  <c r="J103" i="6"/>
  <c r="J102" i="6"/>
  <c r="J101" i="6"/>
  <c r="J100" i="6"/>
  <c r="J99" i="6"/>
  <c r="J98" i="6"/>
  <c r="J97" i="6"/>
  <c r="J96" i="6"/>
  <c r="J95" i="6"/>
  <c r="J94" i="6"/>
  <c r="J93" i="6"/>
  <c r="J92" i="6"/>
  <c r="J91" i="6"/>
  <c r="J89" i="6"/>
  <c r="J88" i="6"/>
  <c r="J87" i="6"/>
  <c r="J86" i="6"/>
  <c r="J85" i="6"/>
  <c r="O84" i="15" s="1"/>
  <c r="J76" i="6"/>
  <c r="J75" i="6"/>
  <c r="J74" i="6"/>
  <c r="J73" i="6"/>
  <c r="J69" i="6"/>
  <c r="J68" i="6"/>
  <c r="J58" i="6"/>
  <c r="J57" i="6"/>
  <c r="J56" i="6"/>
  <c r="J55" i="6"/>
  <c r="J54" i="6"/>
  <c r="J53" i="6"/>
  <c r="J52" i="6"/>
  <c r="J51" i="6"/>
  <c r="O50" i="15" s="1"/>
  <c r="J50" i="6"/>
  <c r="J49" i="6"/>
  <c r="J242" i="7"/>
  <c r="J240" i="7"/>
  <c r="J239" i="7"/>
  <c r="J234" i="7"/>
  <c r="J233" i="7"/>
  <c r="J232" i="7"/>
  <c r="J226" i="7"/>
  <c r="J222" i="7"/>
  <c r="J218" i="7"/>
  <c r="J217" i="7"/>
  <c r="J216" i="7"/>
  <c r="J214" i="7"/>
  <c r="J213" i="7"/>
  <c r="J212" i="7"/>
  <c r="J208" i="7"/>
  <c r="J207" i="7"/>
  <c r="J206" i="7"/>
  <c r="J205" i="7"/>
  <c r="J204" i="7"/>
  <c r="J203" i="7"/>
  <c r="J202" i="7"/>
  <c r="J201" i="7"/>
  <c r="J197" i="7"/>
  <c r="J196" i="7"/>
  <c r="J195" i="7"/>
  <c r="J194" i="7"/>
  <c r="J193" i="7"/>
  <c r="J192" i="7"/>
  <c r="J191" i="7"/>
  <c r="J190" i="7"/>
  <c r="J189" i="7"/>
  <c r="J188" i="7"/>
  <c r="J187" i="7"/>
  <c r="J186" i="7"/>
  <c r="J185" i="7"/>
  <c r="J184" i="7"/>
  <c r="J183" i="7"/>
  <c r="J182" i="7"/>
  <c r="J181" i="7"/>
  <c r="J180" i="7"/>
  <c r="J179" i="7"/>
  <c r="J177" i="7"/>
  <c r="J176" i="7"/>
  <c r="J174" i="7"/>
  <c r="J173" i="7"/>
  <c r="J172" i="7"/>
  <c r="J171" i="7"/>
  <c r="J170" i="7"/>
  <c r="J169" i="7"/>
  <c r="J168" i="7"/>
  <c r="J167" i="7"/>
  <c r="J166" i="7"/>
  <c r="J165" i="7"/>
  <c r="J161" i="7"/>
  <c r="J160" i="7"/>
  <c r="J159" i="7"/>
  <c r="J158" i="7"/>
  <c r="J157" i="7"/>
  <c r="J156" i="7"/>
  <c r="J155" i="7"/>
  <c r="J153" i="7"/>
  <c r="J150" i="7"/>
  <c r="J149" i="7"/>
  <c r="J147" i="7"/>
  <c r="J146" i="7"/>
  <c r="J145" i="7"/>
  <c r="J144" i="7"/>
  <c r="J143" i="7"/>
  <c r="J142" i="7"/>
  <c r="J140" i="7"/>
  <c r="N139" i="15" s="1"/>
  <c r="J139" i="7"/>
  <c r="J135" i="7"/>
  <c r="J134" i="7"/>
  <c r="J133" i="7"/>
  <c r="J132" i="7"/>
  <c r="J131" i="7"/>
  <c r="J130" i="7"/>
  <c r="J121" i="7"/>
  <c r="J120" i="7"/>
  <c r="J119" i="7"/>
  <c r="J118" i="7"/>
  <c r="J117" i="7"/>
  <c r="J111" i="7"/>
  <c r="J110" i="7"/>
  <c r="N110" i="7" s="1"/>
  <c r="J106" i="7"/>
  <c r="J105" i="7"/>
  <c r="J104" i="7"/>
  <c r="J103" i="7"/>
  <c r="J102" i="7"/>
  <c r="J101" i="7"/>
  <c r="J100" i="7"/>
  <c r="J99" i="7"/>
  <c r="J98" i="7"/>
  <c r="J97" i="7"/>
  <c r="J96" i="7"/>
  <c r="J95" i="7"/>
  <c r="J94" i="7"/>
  <c r="J92" i="7"/>
  <c r="J91" i="7"/>
  <c r="J89" i="7"/>
  <c r="J88" i="7"/>
  <c r="J87" i="7"/>
  <c r="J86" i="7"/>
  <c r="J85" i="7"/>
  <c r="N84" i="15" s="1"/>
  <c r="J75" i="7"/>
  <c r="J74" i="7"/>
  <c r="J73" i="7"/>
  <c r="J69" i="7"/>
  <c r="J68" i="7"/>
  <c r="J62" i="7"/>
  <c r="J57" i="7"/>
  <c r="J56" i="7"/>
  <c r="J54" i="7"/>
  <c r="J53" i="7"/>
  <c r="J52" i="7"/>
  <c r="J51" i="7"/>
  <c r="J50" i="7"/>
  <c r="J49" i="7"/>
  <c r="J242" i="8"/>
  <c r="N242" i="8" s="1"/>
  <c r="J240" i="8"/>
  <c r="N240" i="8" s="1"/>
  <c r="J239" i="8"/>
  <c r="J234" i="8"/>
  <c r="N234" i="8" s="1"/>
  <c r="J233" i="8"/>
  <c r="N233" i="8" s="1"/>
  <c r="J232" i="8"/>
  <c r="N232" i="8" s="1"/>
  <c r="J226" i="8"/>
  <c r="N226" i="8" s="1"/>
  <c r="J222" i="8"/>
  <c r="N222" i="8" s="1"/>
  <c r="J218" i="8"/>
  <c r="N218" i="8" s="1"/>
  <c r="J217" i="8"/>
  <c r="N217" i="8" s="1"/>
  <c r="J216" i="8"/>
  <c r="N216" i="8" s="1"/>
  <c r="J215" i="8"/>
  <c r="N215" i="8" s="1"/>
  <c r="J214" i="8"/>
  <c r="N214" i="8" s="1"/>
  <c r="J213" i="8"/>
  <c r="N213" i="8" s="1"/>
  <c r="J212" i="8"/>
  <c r="N212" i="8" s="1"/>
  <c r="J208" i="8"/>
  <c r="N208" i="8" s="1"/>
  <c r="J207" i="8"/>
  <c r="N207" i="8" s="1"/>
  <c r="J206" i="8"/>
  <c r="N206" i="8" s="1"/>
  <c r="J205" i="8"/>
  <c r="N205" i="8" s="1"/>
  <c r="J204" i="8"/>
  <c r="N204" i="8" s="1"/>
  <c r="J203" i="8"/>
  <c r="N203" i="8" s="1"/>
  <c r="J202" i="8"/>
  <c r="N202" i="8" s="1"/>
  <c r="J201" i="8"/>
  <c r="N201" i="8" s="1"/>
  <c r="J197" i="8"/>
  <c r="N197" i="8" s="1"/>
  <c r="J196" i="8"/>
  <c r="N196" i="8" s="1"/>
  <c r="J195" i="8"/>
  <c r="N195" i="8" s="1"/>
  <c r="J194" i="8"/>
  <c r="N194" i="8" s="1"/>
  <c r="J192" i="8"/>
  <c r="N192" i="8" s="1"/>
  <c r="J191" i="8"/>
  <c r="N191" i="8" s="1"/>
  <c r="J190" i="8"/>
  <c r="N190" i="8" s="1"/>
  <c r="J189" i="8"/>
  <c r="N189" i="8" s="1"/>
  <c r="J187" i="8"/>
  <c r="N187" i="8" s="1"/>
  <c r="J186" i="8"/>
  <c r="N186" i="8" s="1"/>
  <c r="J185" i="8"/>
  <c r="N185" i="8" s="1"/>
  <c r="J184" i="8"/>
  <c r="N184" i="8" s="1"/>
  <c r="J183" i="8"/>
  <c r="N183" i="8" s="1"/>
  <c r="J182" i="8"/>
  <c r="N182" i="8" s="1"/>
  <c r="J181" i="8"/>
  <c r="N181" i="8" s="1"/>
  <c r="J180" i="8"/>
  <c r="N180" i="8" s="1"/>
  <c r="J179" i="8"/>
  <c r="N179" i="8" s="1"/>
  <c r="J178" i="8"/>
  <c r="N178" i="8" s="1"/>
  <c r="J174" i="8"/>
  <c r="N174" i="8" s="1"/>
  <c r="J173" i="8"/>
  <c r="N173" i="8" s="1"/>
  <c r="J172" i="8"/>
  <c r="N172" i="8" s="1"/>
  <c r="J171" i="8"/>
  <c r="N171" i="8" s="1"/>
  <c r="J170" i="8"/>
  <c r="N170" i="8" s="1"/>
  <c r="J169" i="8"/>
  <c r="N169" i="8" s="1"/>
  <c r="J168" i="8"/>
  <c r="N168" i="8" s="1"/>
  <c r="J165" i="8"/>
  <c r="N165" i="8" s="1"/>
  <c r="J163" i="8"/>
  <c r="N163" i="8" s="1"/>
  <c r="J161" i="8"/>
  <c r="N161" i="8" s="1"/>
  <c r="J160" i="8"/>
  <c r="N160" i="8" s="1"/>
  <c r="J158" i="8"/>
  <c r="N158" i="8" s="1"/>
  <c r="J157" i="8"/>
  <c r="N157" i="8" s="1"/>
  <c r="J156" i="8"/>
  <c r="N156" i="8" s="1"/>
  <c r="J155" i="8"/>
  <c r="N155" i="8" s="1"/>
  <c r="J154" i="8"/>
  <c r="N154" i="8" s="1"/>
  <c r="J153" i="8"/>
  <c r="N153" i="8" s="1"/>
  <c r="J152" i="8"/>
  <c r="N152" i="8" s="1"/>
  <c r="J150" i="8"/>
  <c r="N150" i="8" s="1"/>
  <c r="J148" i="8"/>
  <c r="N148" i="8" s="1"/>
  <c r="J147" i="8"/>
  <c r="N147" i="8" s="1"/>
  <c r="J145" i="8"/>
  <c r="N145" i="8" s="1"/>
  <c r="J144" i="8"/>
  <c r="N144" i="8" s="1"/>
  <c r="J142" i="8"/>
  <c r="N142" i="8" s="1"/>
  <c r="J141" i="8"/>
  <c r="N141" i="8" s="1"/>
  <c r="J140" i="8"/>
  <c r="J139" i="8"/>
  <c r="N139" i="8" s="1"/>
  <c r="J135" i="8"/>
  <c r="N135" i="8" s="1"/>
  <c r="J134" i="8"/>
  <c r="N134" i="8" s="1"/>
  <c r="J133" i="8"/>
  <c r="N133" i="8" s="1"/>
  <c r="J132" i="8"/>
  <c r="N132" i="8" s="1"/>
  <c r="J131" i="8"/>
  <c r="N131" i="8" s="1"/>
  <c r="J130" i="8"/>
  <c r="J121" i="8"/>
  <c r="N121" i="8" s="1"/>
  <c r="J120" i="8"/>
  <c r="N120" i="8" s="1"/>
  <c r="J119" i="8"/>
  <c r="N119" i="8" s="1"/>
  <c r="J118" i="8"/>
  <c r="N118" i="8" s="1"/>
  <c r="J117" i="8"/>
  <c r="N117" i="8" s="1"/>
  <c r="J115" i="8"/>
  <c r="N115" i="8" s="1"/>
  <c r="J111" i="8"/>
  <c r="N111" i="8" s="1"/>
  <c r="J110" i="8"/>
  <c r="N110" i="8" s="1"/>
  <c r="J106" i="8"/>
  <c r="N106" i="8" s="1"/>
  <c r="J105" i="8"/>
  <c r="N105" i="8" s="1"/>
  <c r="J104" i="8"/>
  <c r="N104" i="8" s="1"/>
  <c r="J103" i="8"/>
  <c r="N103" i="8" s="1"/>
  <c r="J102" i="8"/>
  <c r="N102" i="8" s="1"/>
  <c r="J101" i="8"/>
  <c r="N101" i="8" s="1"/>
  <c r="J100" i="8"/>
  <c r="N100" i="8" s="1"/>
  <c r="J99" i="8"/>
  <c r="N99" i="8" s="1"/>
  <c r="J98" i="8"/>
  <c r="N98" i="8" s="1"/>
  <c r="J97" i="8"/>
  <c r="N97" i="8" s="1"/>
  <c r="J96" i="8"/>
  <c r="N96" i="8" s="1"/>
  <c r="J95" i="8"/>
  <c r="N95" i="8" s="1"/>
  <c r="J94" i="8"/>
  <c r="N94" i="8" s="1"/>
  <c r="J93" i="8"/>
  <c r="N93" i="8" s="1"/>
  <c r="J92" i="8"/>
  <c r="N92" i="8" s="1"/>
  <c r="J91" i="8"/>
  <c r="N91" i="8" s="1"/>
  <c r="J90" i="8"/>
  <c r="N90" i="8" s="1"/>
  <c r="J89" i="8"/>
  <c r="N89" i="8" s="1"/>
  <c r="J88" i="8"/>
  <c r="N88" i="8" s="1"/>
  <c r="J87" i="8"/>
  <c r="N87" i="8" s="1"/>
  <c r="J86" i="8"/>
  <c r="N86" i="8" s="1"/>
  <c r="J85" i="8"/>
  <c r="J75" i="8"/>
  <c r="N75" i="8" s="1"/>
  <c r="J74" i="8"/>
  <c r="N74" i="8" s="1"/>
  <c r="J73" i="8"/>
  <c r="N73" i="8" s="1"/>
  <c r="J69" i="8"/>
  <c r="N69" i="8" s="1"/>
  <c r="J68" i="8"/>
  <c r="N68" i="8" s="1"/>
  <c r="J62" i="8"/>
  <c r="N62" i="8" s="1"/>
  <c r="J58" i="8"/>
  <c r="N58" i="8" s="1"/>
  <c r="J57" i="8"/>
  <c r="N57" i="8" s="1"/>
  <c r="J56" i="8"/>
  <c r="N56" i="8" s="1"/>
  <c r="J55" i="8"/>
  <c r="N55" i="8" s="1"/>
  <c r="J54" i="8"/>
  <c r="N54" i="8" s="1"/>
  <c r="J53" i="8"/>
  <c r="N53" i="8" s="1"/>
  <c r="J52" i="8"/>
  <c r="N52" i="8" s="1"/>
  <c r="J51" i="8"/>
  <c r="N51" i="8" s="1"/>
  <c r="J50" i="8"/>
  <c r="N50" i="8" s="1"/>
  <c r="J49" i="8"/>
  <c r="N49" i="8" s="1"/>
  <c r="K46" i="8"/>
  <c r="M45" i="16" s="1"/>
  <c r="J46" i="8"/>
  <c r="M45" i="15" s="1"/>
  <c r="K45" i="9"/>
  <c r="L44" i="16" s="1"/>
  <c r="J45" i="9"/>
  <c r="K44" i="9"/>
  <c r="L43" i="16" s="1"/>
  <c r="J44" i="9"/>
  <c r="K40" i="9"/>
  <c r="L39" i="16" s="1"/>
  <c r="I39" i="16" s="1"/>
  <c r="J40" i="9"/>
  <c r="J242" i="9"/>
  <c r="N242" i="9" s="1"/>
  <c r="J240" i="9"/>
  <c r="N240" i="9" s="1"/>
  <c r="J239" i="9"/>
  <c r="J234" i="9"/>
  <c r="N234" i="9" s="1"/>
  <c r="J233" i="9"/>
  <c r="N233" i="9" s="1"/>
  <c r="J232" i="9"/>
  <c r="N232" i="9" s="1"/>
  <c r="J226" i="9"/>
  <c r="N226" i="9" s="1"/>
  <c r="J222" i="9"/>
  <c r="N222" i="9" s="1"/>
  <c r="J218" i="9"/>
  <c r="N218" i="9" s="1"/>
  <c r="J217" i="9"/>
  <c r="N217" i="9" s="1"/>
  <c r="J216" i="9"/>
  <c r="N216" i="9" s="1"/>
  <c r="J214" i="9"/>
  <c r="N214" i="9" s="1"/>
  <c r="J213" i="9"/>
  <c r="N213" i="9" s="1"/>
  <c r="J212" i="9"/>
  <c r="N212" i="9" s="1"/>
  <c r="J208" i="9"/>
  <c r="N208" i="9" s="1"/>
  <c r="J207" i="9"/>
  <c r="N207" i="9" s="1"/>
  <c r="J205" i="9"/>
  <c r="N205" i="9" s="1"/>
  <c r="J204" i="9"/>
  <c r="N204" i="9" s="1"/>
  <c r="J203" i="9"/>
  <c r="N203" i="9" s="1"/>
  <c r="J202" i="9"/>
  <c r="N202" i="9" s="1"/>
  <c r="J201" i="9"/>
  <c r="N201" i="9" s="1"/>
  <c r="J197" i="9"/>
  <c r="N197" i="9" s="1"/>
  <c r="J196" i="9"/>
  <c r="N196" i="9" s="1"/>
  <c r="J195" i="9"/>
  <c r="N195" i="9" s="1"/>
  <c r="J194" i="9"/>
  <c r="N194" i="9" s="1"/>
  <c r="J193" i="9"/>
  <c r="N193" i="9" s="1"/>
  <c r="J192" i="9"/>
  <c r="N192" i="9" s="1"/>
  <c r="J189" i="9"/>
  <c r="N189" i="9" s="1"/>
  <c r="J188" i="9"/>
  <c r="N188" i="9" s="1"/>
  <c r="J187" i="9"/>
  <c r="N187" i="9" s="1"/>
  <c r="J186" i="9"/>
  <c r="N186" i="9" s="1"/>
  <c r="J185" i="9"/>
  <c r="N185" i="9" s="1"/>
  <c r="J184" i="9"/>
  <c r="N184" i="9" s="1"/>
  <c r="J183" i="9"/>
  <c r="N183" i="9" s="1"/>
  <c r="J181" i="9"/>
  <c r="N181" i="9" s="1"/>
  <c r="J180" i="9"/>
  <c r="N180" i="9" s="1"/>
  <c r="J179" i="9"/>
  <c r="N179" i="9" s="1"/>
  <c r="J177" i="9"/>
  <c r="N177" i="9" s="1"/>
  <c r="J176" i="9"/>
  <c r="N176" i="9" s="1"/>
  <c r="J174" i="9"/>
  <c r="N174" i="9" s="1"/>
  <c r="J173" i="9"/>
  <c r="N173" i="9" s="1"/>
  <c r="J171" i="9"/>
  <c r="N171" i="9" s="1"/>
  <c r="J170" i="9"/>
  <c r="N170" i="9" s="1"/>
  <c r="J169" i="9"/>
  <c r="N169" i="9" s="1"/>
  <c r="J168" i="9"/>
  <c r="N168" i="9" s="1"/>
  <c r="J167" i="9"/>
  <c r="N167" i="9" s="1"/>
  <c r="J166" i="9"/>
  <c r="N166" i="9" s="1"/>
  <c r="J165" i="9"/>
  <c r="N165" i="9" s="1"/>
  <c r="J163" i="9"/>
  <c r="N163" i="9" s="1"/>
  <c r="J162" i="9"/>
  <c r="N162" i="9" s="1"/>
  <c r="J161" i="9"/>
  <c r="N161" i="9" s="1"/>
  <c r="J160" i="9"/>
  <c r="N160" i="9" s="1"/>
  <c r="J159" i="9"/>
  <c r="N159" i="9" s="1"/>
  <c r="J158" i="9"/>
  <c r="N158" i="9" s="1"/>
  <c r="J157" i="9"/>
  <c r="N157" i="9" s="1"/>
  <c r="J156" i="9"/>
  <c r="N156" i="9" s="1"/>
  <c r="J155" i="9"/>
  <c r="N155" i="9" s="1"/>
  <c r="J153" i="9"/>
  <c r="N153" i="9" s="1"/>
  <c r="J152" i="9"/>
  <c r="N152" i="9" s="1"/>
  <c r="J150" i="9"/>
  <c r="N150" i="9" s="1"/>
  <c r="J149" i="9"/>
  <c r="N149" i="9" s="1"/>
  <c r="J147" i="9"/>
  <c r="N147" i="9" s="1"/>
  <c r="J146" i="9"/>
  <c r="N146" i="9" s="1"/>
  <c r="J145" i="9"/>
  <c r="N145" i="9" s="1"/>
  <c r="J144" i="9"/>
  <c r="N144" i="9" s="1"/>
  <c r="J143" i="9"/>
  <c r="N143" i="9" s="1"/>
  <c r="J142" i="9"/>
  <c r="N142" i="9" s="1"/>
  <c r="J140" i="9"/>
  <c r="J139" i="9"/>
  <c r="N139" i="9" s="1"/>
  <c r="J135" i="9"/>
  <c r="N135" i="9" s="1"/>
  <c r="J134" i="9"/>
  <c r="N134" i="9" s="1"/>
  <c r="J133" i="9"/>
  <c r="N133" i="9" s="1"/>
  <c r="J132" i="9"/>
  <c r="N132" i="9" s="1"/>
  <c r="J131" i="9"/>
  <c r="N131" i="9" s="1"/>
  <c r="J130" i="9"/>
  <c r="J120" i="9"/>
  <c r="N120" i="9" s="1"/>
  <c r="J119" i="9"/>
  <c r="N119" i="9" s="1"/>
  <c r="J117" i="9"/>
  <c r="N117" i="9" s="1"/>
  <c r="J111" i="9"/>
  <c r="N111" i="9" s="1"/>
  <c r="J110" i="9"/>
  <c r="N110" i="9" s="1"/>
  <c r="J106" i="9"/>
  <c r="N106" i="9" s="1"/>
  <c r="J105" i="9"/>
  <c r="N105" i="9" s="1"/>
  <c r="J104" i="9"/>
  <c r="N104" i="9" s="1"/>
  <c r="J103" i="9"/>
  <c r="N103" i="9" s="1"/>
  <c r="J102" i="9"/>
  <c r="N102" i="9" s="1"/>
  <c r="J101" i="9"/>
  <c r="N101" i="9" s="1"/>
  <c r="J100" i="9"/>
  <c r="N100" i="9" s="1"/>
  <c r="J99" i="9"/>
  <c r="N99" i="9" s="1"/>
  <c r="J98" i="9"/>
  <c r="N98" i="9" s="1"/>
  <c r="J97" i="9"/>
  <c r="N97" i="9" s="1"/>
  <c r="J96" i="9"/>
  <c r="N96" i="9" s="1"/>
  <c r="J95" i="9"/>
  <c r="N95" i="9" s="1"/>
  <c r="J94" i="9"/>
  <c r="N94" i="9" s="1"/>
  <c r="J93" i="9"/>
  <c r="N93" i="9" s="1"/>
  <c r="J92" i="9"/>
  <c r="N92" i="9" s="1"/>
  <c r="J91" i="9"/>
  <c r="N91" i="9" s="1"/>
  <c r="J89" i="9"/>
  <c r="N89" i="9" s="1"/>
  <c r="J88" i="9"/>
  <c r="N88" i="9" s="1"/>
  <c r="J87" i="9"/>
  <c r="N87" i="9" s="1"/>
  <c r="J86" i="9"/>
  <c r="N86" i="9" s="1"/>
  <c r="J85" i="9"/>
  <c r="J76" i="9"/>
  <c r="N76" i="9" s="1"/>
  <c r="J75" i="9"/>
  <c r="N75" i="9" s="1"/>
  <c r="J74" i="9"/>
  <c r="N74" i="9" s="1"/>
  <c r="J73" i="9"/>
  <c r="N73" i="9" s="1"/>
  <c r="J69" i="9"/>
  <c r="N69" i="9" s="1"/>
  <c r="J68" i="9"/>
  <c r="N68" i="9" s="1"/>
  <c r="J58" i="9"/>
  <c r="N58" i="9" s="1"/>
  <c r="J57" i="9"/>
  <c r="N57" i="9" s="1"/>
  <c r="J56" i="9"/>
  <c r="N56" i="9" s="1"/>
  <c r="J55" i="9"/>
  <c r="N55" i="9" s="1"/>
  <c r="J54" i="9"/>
  <c r="N54" i="9" s="1"/>
  <c r="J53" i="9"/>
  <c r="N53" i="9" s="1"/>
  <c r="J51" i="9"/>
  <c r="N51" i="9" s="1"/>
  <c r="J50" i="9"/>
  <c r="N50" i="9" s="1"/>
  <c r="J49" i="9"/>
  <c r="N49" i="9" s="1"/>
  <c r="I35" i="15"/>
  <c r="I36" i="15"/>
  <c r="I37" i="15"/>
  <c r="I38" i="15"/>
  <c r="K33" i="15"/>
  <c r="I33" i="15" s="1"/>
  <c r="K31" i="15"/>
  <c r="I31" i="15" s="1"/>
  <c r="K29" i="15"/>
  <c r="I29" i="15" s="1"/>
  <c r="K22" i="15"/>
  <c r="I22" i="15" s="1"/>
  <c r="K19" i="15"/>
  <c r="I19" i="15" s="1"/>
  <c r="K18" i="15"/>
  <c r="I18" i="15" s="1"/>
  <c r="K16" i="15"/>
  <c r="I16" i="15" s="1"/>
  <c r="K15" i="15"/>
  <c r="I15" i="15" s="1"/>
  <c r="K14" i="15"/>
  <c r="I14" i="15" s="1"/>
  <c r="K40" i="15"/>
  <c r="I40" i="15" s="1"/>
  <c r="K41" i="15"/>
  <c r="I41" i="15" s="1"/>
  <c r="K42" i="15"/>
  <c r="I42" i="15" s="1"/>
  <c r="K46" i="15"/>
  <c r="I46" i="15" s="1"/>
  <c r="K47" i="15"/>
  <c r="I47" i="15" s="1"/>
  <c r="K59" i="15"/>
  <c r="I59" i="15" s="1"/>
  <c r="K60" i="15"/>
  <c r="I60" i="15" s="1"/>
  <c r="K63" i="15"/>
  <c r="I63" i="15" s="1"/>
  <c r="K65" i="15"/>
  <c r="I65" i="15" s="1"/>
  <c r="K66" i="15"/>
  <c r="I66" i="15" s="1"/>
  <c r="K69" i="15"/>
  <c r="I69" i="15" s="1"/>
  <c r="K70" i="15"/>
  <c r="I70" i="15" s="1"/>
  <c r="K71" i="15"/>
  <c r="I71" i="15" s="1"/>
  <c r="K77" i="15"/>
  <c r="I77" i="15" s="1"/>
  <c r="K78" i="15"/>
  <c r="I78" i="15" s="1"/>
  <c r="K79" i="15"/>
  <c r="I79" i="15" s="1"/>
  <c r="K80" i="15"/>
  <c r="I80" i="15" s="1"/>
  <c r="K81" i="15"/>
  <c r="I81" i="15" s="1"/>
  <c r="K82" i="15"/>
  <c r="I82" i="15" s="1"/>
  <c r="K83" i="15"/>
  <c r="I83" i="15" s="1"/>
  <c r="K107" i="15"/>
  <c r="I107" i="15" s="1"/>
  <c r="K108" i="15"/>
  <c r="I108" i="15" s="1"/>
  <c r="K112" i="15"/>
  <c r="I112" i="15" s="1"/>
  <c r="K113" i="15"/>
  <c r="I113" i="15" s="1"/>
  <c r="K123" i="15"/>
  <c r="I123" i="15" s="1"/>
  <c r="K125" i="15"/>
  <c r="I125" i="15" s="1"/>
  <c r="K127" i="15"/>
  <c r="I127" i="15" s="1"/>
  <c r="K128" i="15"/>
  <c r="I128" i="15" s="1"/>
  <c r="K136" i="15"/>
  <c r="I136" i="15" s="1"/>
  <c r="K137" i="15"/>
  <c r="I137" i="15" s="1"/>
  <c r="K198" i="15"/>
  <c r="I198" i="15" s="1"/>
  <c r="K199" i="15"/>
  <c r="I199" i="15" s="1"/>
  <c r="K209" i="15"/>
  <c r="I209" i="15" s="1"/>
  <c r="K210" i="15"/>
  <c r="I210" i="15" s="1"/>
  <c r="K219" i="15"/>
  <c r="I219" i="15" s="1"/>
  <c r="K220" i="15"/>
  <c r="I220" i="15" s="1"/>
  <c r="K223" i="15"/>
  <c r="I223" i="15" s="1"/>
  <c r="K224" i="15"/>
  <c r="I224" i="15" s="1"/>
  <c r="K227" i="15"/>
  <c r="I227" i="15" s="1"/>
  <c r="K229" i="15"/>
  <c r="I229" i="15" s="1"/>
  <c r="K230" i="15"/>
  <c r="I230" i="15" s="1"/>
  <c r="K235" i="15"/>
  <c r="I235" i="15" s="1"/>
  <c r="K236" i="15"/>
  <c r="K237" i="15"/>
  <c r="I237" i="15" s="1"/>
  <c r="K243" i="15"/>
  <c r="I243" i="15" s="1"/>
  <c r="K121" i="3"/>
  <c r="K120" i="16" s="1"/>
  <c r="K119" i="3"/>
  <c r="K118" i="16" s="1"/>
  <c r="K117" i="3"/>
  <c r="K116" i="16" s="1"/>
  <c r="K110" i="15"/>
  <c r="K109" i="15"/>
  <c r="K105" i="3"/>
  <c r="K104" i="16" s="1"/>
  <c r="K104" i="3"/>
  <c r="K103" i="16" s="1"/>
  <c r="K102" i="3"/>
  <c r="K101" i="16" s="1"/>
  <c r="K101" i="3"/>
  <c r="K100" i="16" s="1"/>
  <c r="K100" i="3"/>
  <c r="K99" i="16" s="1"/>
  <c r="K99" i="3"/>
  <c r="K98" i="16" s="1"/>
  <c r="K98" i="3"/>
  <c r="K97" i="16" s="1"/>
  <c r="K97" i="3"/>
  <c r="K96" i="16" s="1"/>
  <c r="K96" i="3"/>
  <c r="K95" i="16" s="1"/>
  <c r="K95" i="3"/>
  <c r="K94" i="16" s="1"/>
  <c r="K94" i="3"/>
  <c r="K93" i="16" s="1"/>
  <c r="K92" i="16"/>
  <c r="K92" i="3"/>
  <c r="K91" i="16" s="1"/>
  <c r="K91" i="3"/>
  <c r="K90" i="16" s="1"/>
  <c r="K89" i="16"/>
  <c r="K89" i="3"/>
  <c r="K88" i="16" s="1"/>
  <c r="K88" i="3"/>
  <c r="K87" i="16" s="1"/>
  <c r="K87" i="3"/>
  <c r="K86" i="16" s="1"/>
  <c r="K85" i="3"/>
  <c r="K84" i="16" s="1"/>
  <c r="K242" i="3"/>
  <c r="K241" i="16" s="1"/>
  <c r="K241" i="3"/>
  <c r="K240" i="16" s="1"/>
  <c r="K240" i="3"/>
  <c r="K239" i="16" s="1"/>
  <c r="K239" i="3"/>
  <c r="K238" i="16" s="1"/>
  <c r="K234" i="3"/>
  <c r="K233" i="16" s="1"/>
  <c r="K233" i="3"/>
  <c r="K232" i="16" s="1"/>
  <c r="K232" i="3"/>
  <c r="K231" i="16" s="1"/>
  <c r="K226" i="3"/>
  <c r="K27" i="15"/>
  <c r="K218" i="3"/>
  <c r="K217" i="16" s="1"/>
  <c r="K217" i="3"/>
  <c r="K216" i="16" s="1"/>
  <c r="K216" i="3"/>
  <c r="K215" i="16" s="1"/>
  <c r="K215" i="3"/>
  <c r="K214" i="16" s="1"/>
  <c r="K213" i="3"/>
  <c r="K212" i="16" s="1"/>
  <c r="K212" i="3"/>
  <c r="K211" i="16" s="1"/>
  <c r="K208" i="3"/>
  <c r="K207" i="16" s="1"/>
  <c r="K207" i="3"/>
  <c r="K206" i="16" s="1"/>
  <c r="K205" i="3"/>
  <c r="K204" i="16" s="1"/>
  <c r="K204" i="3"/>
  <c r="K203" i="16" s="1"/>
  <c r="K203" i="3"/>
  <c r="K202" i="16" s="1"/>
  <c r="K202" i="3"/>
  <c r="K201" i="16" s="1"/>
  <c r="K201" i="3"/>
  <c r="K200" i="16" s="1"/>
  <c r="K197" i="3"/>
  <c r="K196" i="16" s="1"/>
  <c r="K196" i="3"/>
  <c r="K195" i="16" s="1"/>
  <c r="K195" i="3"/>
  <c r="K194" i="16" s="1"/>
  <c r="K194" i="3"/>
  <c r="K193" i="16" s="1"/>
  <c r="K193" i="3"/>
  <c r="K192" i="16" s="1"/>
  <c r="K192" i="3"/>
  <c r="K191" i="16" s="1"/>
  <c r="K190" i="15"/>
  <c r="K190" i="3"/>
  <c r="K189" i="16" s="1"/>
  <c r="K189" i="3"/>
  <c r="K188" i="16" s="1"/>
  <c r="K188" i="3"/>
  <c r="K187" i="16" s="1"/>
  <c r="K186" i="15"/>
  <c r="K186" i="3"/>
  <c r="K185" i="16" s="1"/>
  <c r="K184" i="3"/>
  <c r="K183" i="16" s="1"/>
  <c r="K182" i="3"/>
  <c r="K181" i="16" s="1"/>
  <c r="K181" i="3"/>
  <c r="K180" i="16" s="1"/>
  <c r="K180" i="3"/>
  <c r="K179" i="16" s="1"/>
  <c r="K178" i="15"/>
  <c r="K177" i="3"/>
  <c r="K176" i="16" s="1"/>
  <c r="K176" i="3"/>
  <c r="K175" i="16" s="1"/>
  <c r="K173" i="3"/>
  <c r="K172" i="16" s="1"/>
  <c r="K171" i="3"/>
  <c r="K170" i="16" s="1"/>
  <c r="K170" i="3"/>
  <c r="K169" i="16" s="1"/>
  <c r="K169" i="3"/>
  <c r="K168" i="16" s="1"/>
  <c r="K168" i="3"/>
  <c r="K167" i="16" s="1"/>
  <c r="K166" i="15"/>
  <c r="K166" i="3"/>
  <c r="K165" i="16" s="1"/>
  <c r="K165" i="3"/>
  <c r="K164" i="16" s="1"/>
  <c r="K164" i="3"/>
  <c r="K163" i="16" s="1"/>
  <c r="K163" i="3"/>
  <c r="K162" i="16" s="1"/>
  <c r="K162" i="3"/>
  <c r="K161" i="16" s="1"/>
  <c r="K161" i="3"/>
  <c r="K160" i="16" s="1"/>
  <c r="K159" i="3"/>
  <c r="K158" i="16" s="1"/>
  <c r="K160" i="3"/>
  <c r="K159" i="16" s="1"/>
  <c r="K158" i="3"/>
  <c r="K157" i="16" s="1"/>
  <c r="K156" i="3"/>
  <c r="K155" i="16" s="1"/>
  <c r="K154" i="3"/>
  <c r="K153" i="16" s="1"/>
  <c r="K153" i="3"/>
  <c r="K152" i="16" s="1"/>
  <c r="K152" i="3"/>
  <c r="K151" i="16" s="1"/>
  <c r="K150" i="3"/>
  <c r="K149" i="16" s="1"/>
  <c r="K149" i="3"/>
  <c r="K148" i="16" s="1"/>
  <c r="K148" i="3"/>
  <c r="K147" i="16" s="1"/>
  <c r="K145" i="3"/>
  <c r="K144" i="16" s="1"/>
  <c r="K144" i="3"/>
  <c r="K143" i="16" s="1"/>
  <c r="K143" i="3"/>
  <c r="K142" i="16" s="1"/>
  <c r="K141" i="3"/>
  <c r="K140" i="16" s="1"/>
  <c r="K140" i="3"/>
  <c r="K139" i="16" s="1"/>
  <c r="K138" i="15"/>
  <c r="K135" i="3"/>
  <c r="K134" i="16" s="1"/>
  <c r="K134" i="3"/>
  <c r="K133" i="16" s="1"/>
  <c r="K133" i="3"/>
  <c r="K132" i="16" s="1"/>
  <c r="K131" i="15"/>
  <c r="K130" i="3"/>
  <c r="K129" i="16" s="1"/>
  <c r="K75" i="3"/>
  <c r="K74" i="16" s="1"/>
  <c r="K74" i="3"/>
  <c r="K73" i="16" s="1"/>
  <c r="K73" i="3"/>
  <c r="K72" i="16" s="1"/>
  <c r="K69" i="3"/>
  <c r="K68" i="16" s="1"/>
  <c r="K68" i="3"/>
  <c r="K67" i="16" s="1"/>
  <c r="K61" i="15"/>
  <c r="K50" i="3"/>
  <c r="K49" i="16" s="1"/>
  <c r="K51" i="3"/>
  <c r="K50" i="16" s="1"/>
  <c r="K52" i="3"/>
  <c r="K51" i="16" s="1"/>
  <c r="K53" i="3"/>
  <c r="K52" i="16" s="1"/>
  <c r="K53" i="15"/>
  <c r="K55" i="3"/>
  <c r="K54" i="16" s="1"/>
  <c r="K57" i="3"/>
  <c r="K56" i="16" s="1"/>
  <c r="K58" i="3"/>
  <c r="K57" i="16" s="1"/>
  <c r="K45" i="3"/>
  <c r="K44" i="16" s="1"/>
  <c r="K44" i="15"/>
  <c r="K44" i="3"/>
  <c r="K43" i="16" s="1"/>
  <c r="I43" i="16" s="1"/>
  <c r="K43" i="15"/>
  <c r="K40" i="3"/>
  <c r="K39" i="16" s="1"/>
  <c r="K39" i="15"/>
  <c r="K49" i="3"/>
  <c r="K48" i="16" s="1"/>
  <c r="L125" i="14"/>
  <c r="L48" i="14"/>
  <c r="L28" i="14"/>
  <c r="L27" i="14"/>
  <c r="P109" i="15" l="1"/>
  <c r="N110" i="5"/>
  <c r="M84" i="15"/>
  <c r="N85" i="8"/>
  <c r="M139" i="15"/>
  <c r="N140" i="8"/>
  <c r="J243" i="8"/>
  <c r="N243" i="8" s="1"/>
  <c r="N239" i="8"/>
  <c r="M129" i="15"/>
  <c r="N130" i="8"/>
  <c r="L39" i="15"/>
  <c r="N40" i="9"/>
  <c r="N44" i="9"/>
  <c r="L43" i="15"/>
  <c r="L84" i="15"/>
  <c r="N85" i="9"/>
  <c r="L139" i="15"/>
  <c r="N140" i="9"/>
  <c r="L44" i="15"/>
  <c r="I44" i="15" s="1"/>
  <c r="N45" i="9"/>
  <c r="L129" i="15"/>
  <c r="N130" i="9"/>
  <c r="N239" i="9"/>
  <c r="J243" i="9"/>
  <c r="N243" i="9" s="1"/>
  <c r="I43" i="15"/>
  <c r="O186" i="15"/>
  <c r="K187" i="6"/>
  <c r="I39" i="15"/>
  <c r="I44" i="16"/>
  <c r="K46" i="5"/>
  <c r="P45" i="16" s="1"/>
  <c r="P40" i="16"/>
  <c r="I40" i="16" s="1"/>
  <c r="K158" i="2"/>
  <c r="R157" i="16" s="1"/>
  <c r="K176" i="2"/>
  <c r="R175" i="16" s="1"/>
  <c r="K203" i="15"/>
  <c r="K118" i="15"/>
  <c r="K85" i="6"/>
  <c r="O84" i="16" s="1"/>
  <c r="K86" i="2"/>
  <c r="R85" i="16" s="1"/>
  <c r="K100" i="2"/>
  <c r="R99" i="16" s="1"/>
  <c r="K94" i="2"/>
  <c r="R93" i="16" s="1"/>
  <c r="K86" i="15"/>
  <c r="K239" i="15"/>
  <c r="K152" i="2"/>
  <c r="R151" i="16" s="1"/>
  <c r="O186" i="16"/>
  <c r="K176" i="5"/>
  <c r="P175" i="16" s="1"/>
  <c r="K218" i="2"/>
  <c r="R217" i="16" s="1"/>
  <c r="K202" i="2"/>
  <c r="R201" i="16" s="1"/>
  <c r="K231" i="15"/>
  <c r="K211" i="15"/>
  <c r="K180" i="5"/>
  <c r="P179" i="16" s="1"/>
  <c r="K132" i="2"/>
  <c r="R131" i="16" s="1"/>
  <c r="K142" i="2"/>
  <c r="R141" i="16" s="1"/>
  <c r="K205" i="2"/>
  <c r="R204" i="16" s="1"/>
  <c r="K117" i="9"/>
  <c r="L116" i="16" s="1"/>
  <c r="L116" i="15"/>
  <c r="K102" i="9"/>
  <c r="L101" i="16" s="1"/>
  <c r="L101" i="15"/>
  <c r="K89" i="8"/>
  <c r="M88" i="16" s="1"/>
  <c r="M88" i="15"/>
  <c r="K98" i="7"/>
  <c r="N97" i="16" s="1"/>
  <c r="N97" i="15"/>
  <c r="K119" i="6"/>
  <c r="O118" i="16" s="1"/>
  <c r="O118" i="15"/>
  <c r="K94" i="15"/>
  <c r="K92" i="9"/>
  <c r="L91" i="16" s="1"/>
  <c r="L91" i="15"/>
  <c r="K100" i="9"/>
  <c r="L99" i="16" s="1"/>
  <c r="L99" i="15"/>
  <c r="K111" i="9"/>
  <c r="L110" i="16" s="1"/>
  <c r="L110" i="15"/>
  <c r="K93" i="8"/>
  <c r="M92" i="16" s="1"/>
  <c r="M92" i="15"/>
  <c r="K101" i="8"/>
  <c r="M100" i="16" s="1"/>
  <c r="M100" i="15"/>
  <c r="K115" i="8"/>
  <c r="M114" i="16" s="1"/>
  <c r="M114" i="15"/>
  <c r="K94" i="7"/>
  <c r="N93" i="16" s="1"/>
  <c r="N93" i="15"/>
  <c r="K102" i="7"/>
  <c r="N101" i="16" s="1"/>
  <c r="N101" i="15"/>
  <c r="K118" i="7"/>
  <c r="N117" i="16" s="1"/>
  <c r="N117" i="15"/>
  <c r="K89" i="6"/>
  <c r="O88" i="16" s="1"/>
  <c r="O88" i="15"/>
  <c r="K98" i="6"/>
  <c r="O97" i="16" s="1"/>
  <c r="O97" i="15"/>
  <c r="K110" i="6"/>
  <c r="O109" i="16" s="1"/>
  <c r="O109" i="15"/>
  <c r="K87" i="5"/>
  <c r="P86" i="16" s="1"/>
  <c r="P86" i="15"/>
  <c r="K95" i="5"/>
  <c r="P94" i="16" s="1"/>
  <c r="P94" i="15"/>
  <c r="K101" i="5"/>
  <c r="P100" i="16" s="1"/>
  <c r="P100" i="15"/>
  <c r="K118" i="5"/>
  <c r="P117" i="16" s="1"/>
  <c r="P117" i="15"/>
  <c r="K89" i="4"/>
  <c r="Q88" i="16" s="1"/>
  <c r="Q88" i="15"/>
  <c r="K99" i="4"/>
  <c r="Q98" i="16" s="1"/>
  <c r="Q98" i="15"/>
  <c r="K111" i="4"/>
  <c r="Q110" i="16" s="1"/>
  <c r="Q110" i="15"/>
  <c r="K90" i="2"/>
  <c r="R89" i="16" s="1"/>
  <c r="R89" i="15"/>
  <c r="K97" i="2"/>
  <c r="R96" i="16" s="1"/>
  <c r="R96" i="15"/>
  <c r="K103" i="2"/>
  <c r="R102" i="16" s="1"/>
  <c r="R102" i="15"/>
  <c r="K119" i="2"/>
  <c r="R118" i="16" s="1"/>
  <c r="R118" i="15"/>
  <c r="K93" i="9"/>
  <c r="L92" i="16" s="1"/>
  <c r="L92" i="15"/>
  <c r="K94" i="8"/>
  <c r="M93" i="16" s="1"/>
  <c r="M93" i="15"/>
  <c r="K102" i="8"/>
  <c r="M101" i="16" s="1"/>
  <c r="M101" i="15"/>
  <c r="K119" i="7"/>
  <c r="N118" i="16" s="1"/>
  <c r="N118" i="15"/>
  <c r="K91" i="6"/>
  <c r="O90" i="16" s="1"/>
  <c r="O90" i="15"/>
  <c r="K111" i="6"/>
  <c r="O110" i="16" s="1"/>
  <c r="O110" i="15"/>
  <c r="K119" i="5"/>
  <c r="P118" i="16" s="1"/>
  <c r="P118" i="15"/>
  <c r="K117" i="4"/>
  <c r="Q116" i="16" s="1"/>
  <c r="Q116" i="15"/>
  <c r="K104" i="2"/>
  <c r="R103" i="16" s="1"/>
  <c r="R103" i="15"/>
  <c r="K119" i="9"/>
  <c r="L118" i="16" s="1"/>
  <c r="L118" i="15"/>
  <c r="K87" i="8"/>
  <c r="M86" i="16" s="1"/>
  <c r="M86" i="15"/>
  <c r="K95" i="8"/>
  <c r="M94" i="16" s="1"/>
  <c r="M94" i="15"/>
  <c r="K103" i="8"/>
  <c r="M102" i="16" s="1"/>
  <c r="M102" i="15"/>
  <c r="K118" i="8"/>
  <c r="M117" i="16" s="1"/>
  <c r="M117" i="15"/>
  <c r="K87" i="7"/>
  <c r="N86" i="16" s="1"/>
  <c r="N86" i="15"/>
  <c r="K96" i="7"/>
  <c r="N95" i="16" s="1"/>
  <c r="N95" i="15"/>
  <c r="K104" i="7"/>
  <c r="N103" i="16" s="1"/>
  <c r="N103" i="15"/>
  <c r="K120" i="7"/>
  <c r="N119" i="16" s="1"/>
  <c r="N119" i="15"/>
  <c r="K92" i="6"/>
  <c r="O91" i="16" s="1"/>
  <c r="O91" i="15"/>
  <c r="K100" i="6"/>
  <c r="O99" i="16" s="1"/>
  <c r="O99" i="15"/>
  <c r="K117" i="6"/>
  <c r="O116" i="16" s="1"/>
  <c r="O116" i="15"/>
  <c r="K89" i="5"/>
  <c r="P88" i="16" s="1"/>
  <c r="P88" i="15"/>
  <c r="K96" i="5"/>
  <c r="P95" i="16" s="1"/>
  <c r="K103" i="5"/>
  <c r="P102" i="16" s="1"/>
  <c r="P102" i="15"/>
  <c r="K120" i="5"/>
  <c r="P119" i="16" s="1"/>
  <c r="P119" i="15"/>
  <c r="K92" i="4"/>
  <c r="Q91" i="16" s="1"/>
  <c r="Q91" i="15"/>
  <c r="K101" i="4"/>
  <c r="Q100" i="16" s="1"/>
  <c r="Q100" i="15"/>
  <c r="K119" i="4"/>
  <c r="Q118" i="16" s="1"/>
  <c r="Q118" i="15"/>
  <c r="K85" i="2"/>
  <c r="R84" i="16" s="1"/>
  <c r="K92" i="2"/>
  <c r="R91" i="16" s="1"/>
  <c r="R91" i="15"/>
  <c r="K98" i="2"/>
  <c r="R97" i="16" s="1"/>
  <c r="K105" i="2"/>
  <c r="R104" i="16" s="1"/>
  <c r="R104" i="15"/>
  <c r="K121" i="2"/>
  <c r="R120" i="16" s="1"/>
  <c r="R120" i="15"/>
  <c r="K86" i="9"/>
  <c r="L85" i="16" s="1"/>
  <c r="L85" i="15"/>
  <c r="K95" i="9"/>
  <c r="L94" i="16" s="1"/>
  <c r="L94" i="15"/>
  <c r="K103" i="9"/>
  <c r="L102" i="16" s="1"/>
  <c r="L102" i="15"/>
  <c r="K120" i="9"/>
  <c r="L119" i="16" s="1"/>
  <c r="L119" i="15"/>
  <c r="K88" i="8"/>
  <c r="M87" i="16" s="1"/>
  <c r="M87" i="15"/>
  <c r="K96" i="8"/>
  <c r="M95" i="16" s="1"/>
  <c r="M95" i="15"/>
  <c r="K104" i="8"/>
  <c r="M103" i="16" s="1"/>
  <c r="M103" i="15"/>
  <c r="K119" i="8"/>
  <c r="M118" i="16" s="1"/>
  <c r="M118" i="15"/>
  <c r="K88" i="7"/>
  <c r="N87" i="16" s="1"/>
  <c r="N87" i="15"/>
  <c r="K97" i="7"/>
  <c r="N96" i="16" s="1"/>
  <c r="N96" i="15"/>
  <c r="K105" i="7"/>
  <c r="N104" i="16" s="1"/>
  <c r="N104" i="15"/>
  <c r="K121" i="7"/>
  <c r="N120" i="16" s="1"/>
  <c r="N120" i="15"/>
  <c r="K93" i="6"/>
  <c r="O92" i="16" s="1"/>
  <c r="O92" i="15"/>
  <c r="K101" i="6"/>
  <c r="O100" i="16" s="1"/>
  <c r="O100" i="15"/>
  <c r="K118" i="6"/>
  <c r="O117" i="16" s="1"/>
  <c r="O117" i="15"/>
  <c r="K91" i="5"/>
  <c r="P90" i="16" s="1"/>
  <c r="P90" i="15"/>
  <c r="K97" i="5"/>
  <c r="P96" i="16" s="1"/>
  <c r="P96" i="15"/>
  <c r="K104" i="5"/>
  <c r="P103" i="16" s="1"/>
  <c r="P103" i="15"/>
  <c r="K121" i="5"/>
  <c r="P120" i="16" s="1"/>
  <c r="P120" i="15"/>
  <c r="K93" i="4"/>
  <c r="Q92" i="16" s="1"/>
  <c r="Q92" i="15"/>
  <c r="K102" i="4"/>
  <c r="Q101" i="16" s="1"/>
  <c r="Q101" i="15"/>
  <c r="K120" i="4"/>
  <c r="Q119" i="16" s="1"/>
  <c r="Q119" i="15"/>
  <c r="K93" i="2"/>
  <c r="R92" i="16" s="1"/>
  <c r="R92" i="15"/>
  <c r="K99" i="2"/>
  <c r="R98" i="16" s="1"/>
  <c r="R98" i="15"/>
  <c r="K106" i="2"/>
  <c r="R105" i="16" s="1"/>
  <c r="R105" i="15"/>
  <c r="K94" i="4"/>
  <c r="Q93" i="16" s="1"/>
  <c r="Q93" i="15"/>
  <c r="K103" i="4"/>
  <c r="Q102" i="16" s="1"/>
  <c r="Q102" i="15"/>
  <c r="K121" i="4"/>
  <c r="Q120" i="16" s="1"/>
  <c r="Q120" i="15"/>
  <c r="K110" i="2"/>
  <c r="R109" i="16" s="1"/>
  <c r="R109" i="15"/>
  <c r="K86" i="8"/>
  <c r="M85" i="16" s="1"/>
  <c r="M85" i="15"/>
  <c r="K91" i="4"/>
  <c r="Q90" i="16" s="1"/>
  <c r="Q90" i="15"/>
  <c r="K104" i="9"/>
  <c r="L103" i="16" s="1"/>
  <c r="L103" i="15"/>
  <c r="K105" i="8"/>
  <c r="M104" i="16" s="1"/>
  <c r="M104" i="15"/>
  <c r="K89" i="7"/>
  <c r="N88" i="16" s="1"/>
  <c r="N88" i="15"/>
  <c r="K102" i="6"/>
  <c r="O101" i="16" s="1"/>
  <c r="O101" i="15"/>
  <c r="K105" i="5"/>
  <c r="P104" i="16" s="1"/>
  <c r="P104" i="15"/>
  <c r="K97" i="9"/>
  <c r="L96" i="16" s="1"/>
  <c r="L96" i="15"/>
  <c r="K105" i="9"/>
  <c r="L104" i="16" s="1"/>
  <c r="L104" i="15"/>
  <c r="K90" i="8"/>
  <c r="M89" i="16" s="1"/>
  <c r="M89" i="15"/>
  <c r="K98" i="8"/>
  <c r="M97" i="16" s="1"/>
  <c r="M97" i="15"/>
  <c r="K106" i="8"/>
  <c r="M105" i="16" s="1"/>
  <c r="M105" i="15"/>
  <c r="K121" i="8"/>
  <c r="M120" i="16" s="1"/>
  <c r="M120" i="15"/>
  <c r="K91" i="7"/>
  <c r="N90" i="16" s="1"/>
  <c r="N90" i="15"/>
  <c r="K99" i="7"/>
  <c r="N98" i="16" s="1"/>
  <c r="N98" i="15"/>
  <c r="N109" i="16"/>
  <c r="N109" i="15"/>
  <c r="K86" i="6"/>
  <c r="O85" i="16" s="1"/>
  <c r="O85" i="15"/>
  <c r="K95" i="6"/>
  <c r="O94" i="16" s="1"/>
  <c r="O94" i="15"/>
  <c r="K103" i="6"/>
  <c r="O102" i="16" s="1"/>
  <c r="O102" i="15"/>
  <c r="K120" i="6"/>
  <c r="O119" i="16" s="1"/>
  <c r="O119" i="15"/>
  <c r="K93" i="5"/>
  <c r="P92" i="16" s="1"/>
  <c r="P92" i="15"/>
  <c r="K99" i="5"/>
  <c r="P98" i="16" s="1"/>
  <c r="P98" i="15"/>
  <c r="K86" i="4"/>
  <c r="Q85" i="16" s="1"/>
  <c r="Q85" i="15"/>
  <c r="K96" i="4"/>
  <c r="Q95" i="16" s="1"/>
  <c r="Q95" i="15"/>
  <c r="K104" i="4"/>
  <c r="Q103" i="16" s="1"/>
  <c r="Q103" i="15"/>
  <c r="K87" i="2"/>
  <c r="R86" i="16" s="1"/>
  <c r="R86" i="15"/>
  <c r="K111" i="2"/>
  <c r="R110" i="16" s="1"/>
  <c r="R110" i="15"/>
  <c r="K95" i="7"/>
  <c r="N94" i="16" s="1"/>
  <c r="N94" i="15"/>
  <c r="K87" i="9"/>
  <c r="L86" i="16" s="1"/>
  <c r="L86" i="15"/>
  <c r="K97" i="8"/>
  <c r="M96" i="16" s="1"/>
  <c r="M96" i="15"/>
  <c r="K106" i="7"/>
  <c r="N105" i="16" s="1"/>
  <c r="N105" i="15"/>
  <c r="K94" i="6"/>
  <c r="O93" i="16" s="1"/>
  <c r="O93" i="15"/>
  <c r="K89" i="9"/>
  <c r="L88" i="16" s="1"/>
  <c r="L88" i="15"/>
  <c r="K98" i="9"/>
  <c r="L97" i="16" s="1"/>
  <c r="L97" i="15"/>
  <c r="K106" i="9"/>
  <c r="L105" i="16" s="1"/>
  <c r="L105" i="15"/>
  <c r="K91" i="8"/>
  <c r="M90" i="16" s="1"/>
  <c r="M90" i="15"/>
  <c r="K99" i="8"/>
  <c r="M98" i="16" s="1"/>
  <c r="M98" i="15"/>
  <c r="K110" i="8"/>
  <c r="M109" i="15"/>
  <c r="K92" i="7"/>
  <c r="N91" i="16" s="1"/>
  <c r="N91" i="15"/>
  <c r="K100" i="7"/>
  <c r="N99" i="16" s="1"/>
  <c r="N99" i="15"/>
  <c r="K111" i="7"/>
  <c r="N110" i="16" s="1"/>
  <c r="N110" i="15"/>
  <c r="K87" i="6"/>
  <c r="O86" i="16" s="1"/>
  <c r="O86" i="15"/>
  <c r="K96" i="6"/>
  <c r="O95" i="16" s="1"/>
  <c r="O95" i="15"/>
  <c r="K104" i="6"/>
  <c r="O103" i="16" s="1"/>
  <c r="O103" i="15"/>
  <c r="K121" i="6"/>
  <c r="O120" i="16" s="1"/>
  <c r="O120" i="15"/>
  <c r="K111" i="5"/>
  <c r="P110" i="16" s="1"/>
  <c r="P110" i="15"/>
  <c r="K87" i="4"/>
  <c r="Q86" i="16" s="1"/>
  <c r="Q86" i="15"/>
  <c r="K97" i="4"/>
  <c r="Q96" i="16" s="1"/>
  <c r="Q96" i="15"/>
  <c r="K105" i="4"/>
  <c r="Q104" i="16" s="1"/>
  <c r="Q104" i="15"/>
  <c r="K88" i="2"/>
  <c r="R87" i="16" s="1"/>
  <c r="R87" i="15"/>
  <c r="K95" i="2"/>
  <c r="R94" i="16" s="1"/>
  <c r="R94" i="15"/>
  <c r="K101" i="2"/>
  <c r="R100" i="16" s="1"/>
  <c r="R100" i="15"/>
  <c r="K117" i="2"/>
  <c r="R116" i="16" s="1"/>
  <c r="R116" i="15"/>
  <c r="K101" i="9"/>
  <c r="L100" i="16" s="1"/>
  <c r="L100" i="15"/>
  <c r="K117" i="8"/>
  <c r="M116" i="16" s="1"/>
  <c r="M116" i="15"/>
  <c r="K86" i="7"/>
  <c r="N85" i="16" s="1"/>
  <c r="N85" i="15"/>
  <c r="K103" i="7"/>
  <c r="N102" i="16" s="1"/>
  <c r="N102" i="15"/>
  <c r="K99" i="6"/>
  <c r="O98" i="16" s="1"/>
  <c r="O98" i="15"/>
  <c r="K88" i="5"/>
  <c r="P87" i="16" s="1"/>
  <c r="P87" i="15"/>
  <c r="K102" i="5"/>
  <c r="P101" i="16" s="1"/>
  <c r="P101" i="15"/>
  <c r="K100" i="4"/>
  <c r="Q99" i="16" s="1"/>
  <c r="Q99" i="15"/>
  <c r="K91" i="2"/>
  <c r="R90" i="16" s="1"/>
  <c r="R90" i="15"/>
  <c r="K120" i="2"/>
  <c r="R119" i="16" s="1"/>
  <c r="R119" i="15"/>
  <c r="K94" i="9"/>
  <c r="L93" i="16" s="1"/>
  <c r="L93" i="15"/>
  <c r="K96" i="9"/>
  <c r="L95" i="16" s="1"/>
  <c r="L95" i="15"/>
  <c r="K120" i="8"/>
  <c r="M119" i="16" s="1"/>
  <c r="M119" i="15"/>
  <c r="K92" i="5"/>
  <c r="P91" i="16" s="1"/>
  <c r="P91" i="15"/>
  <c r="K98" i="5"/>
  <c r="P97" i="16" s="1"/>
  <c r="P97" i="15"/>
  <c r="K88" i="9"/>
  <c r="L87" i="16" s="1"/>
  <c r="L87" i="15"/>
  <c r="K91" i="9"/>
  <c r="L90" i="16" s="1"/>
  <c r="L90" i="15"/>
  <c r="K99" i="9"/>
  <c r="L98" i="16" s="1"/>
  <c r="L98" i="15"/>
  <c r="L109" i="16"/>
  <c r="L109" i="15"/>
  <c r="K92" i="8"/>
  <c r="M91" i="16" s="1"/>
  <c r="M91" i="15"/>
  <c r="K100" i="8"/>
  <c r="M99" i="16" s="1"/>
  <c r="M99" i="15"/>
  <c r="K111" i="8"/>
  <c r="M110" i="16" s="1"/>
  <c r="M110" i="15"/>
  <c r="N92" i="16"/>
  <c r="N92" i="15"/>
  <c r="K101" i="7"/>
  <c r="N100" i="16" s="1"/>
  <c r="N100" i="15"/>
  <c r="K117" i="7"/>
  <c r="N116" i="16" s="1"/>
  <c r="N116" i="15"/>
  <c r="K88" i="6"/>
  <c r="O87" i="16" s="1"/>
  <c r="O87" i="15"/>
  <c r="K97" i="6"/>
  <c r="O96" i="16" s="1"/>
  <c r="O96" i="15"/>
  <c r="K105" i="6"/>
  <c r="O104" i="16" s="1"/>
  <c r="O104" i="15"/>
  <c r="K86" i="5"/>
  <c r="P85" i="16" s="1"/>
  <c r="P85" i="15"/>
  <c r="K94" i="5"/>
  <c r="P93" i="16" s="1"/>
  <c r="K100" i="5"/>
  <c r="P99" i="16" s="1"/>
  <c r="K117" i="5"/>
  <c r="P116" i="16" s="1"/>
  <c r="P116" i="15"/>
  <c r="K88" i="4"/>
  <c r="Q87" i="16" s="1"/>
  <c r="Q87" i="15"/>
  <c r="K98" i="4"/>
  <c r="Q97" i="16" s="1"/>
  <c r="Q97" i="15"/>
  <c r="Q109" i="16"/>
  <c r="Q109" i="15"/>
  <c r="K89" i="2"/>
  <c r="R88" i="16" s="1"/>
  <c r="R88" i="15"/>
  <c r="K96" i="2"/>
  <c r="R95" i="16" s="1"/>
  <c r="R95" i="15"/>
  <c r="K102" i="2"/>
  <c r="R101" i="16" s="1"/>
  <c r="R101" i="15"/>
  <c r="K118" i="2"/>
  <c r="R117" i="16" s="1"/>
  <c r="R117" i="15"/>
  <c r="K143" i="9"/>
  <c r="L142" i="16" s="1"/>
  <c r="L142" i="15"/>
  <c r="K183" i="9"/>
  <c r="L182" i="16" s="1"/>
  <c r="L182" i="15"/>
  <c r="K204" i="9"/>
  <c r="L203" i="16" s="1"/>
  <c r="L203" i="15"/>
  <c r="K217" i="9"/>
  <c r="L216" i="16" s="1"/>
  <c r="L216" i="15"/>
  <c r="K240" i="9"/>
  <c r="L239" i="16" s="1"/>
  <c r="L239" i="15"/>
  <c r="K54" i="8"/>
  <c r="M53" i="16" s="1"/>
  <c r="M53" i="15"/>
  <c r="K69" i="8"/>
  <c r="M68" i="16" s="1"/>
  <c r="M68" i="15"/>
  <c r="K158" i="8"/>
  <c r="M157" i="16" s="1"/>
  <c r="M157" i="15"/>
  <c r="K171" i="8"/>
  <c r="M170" i="16" s="1"/>
  <c r="M170" i="15"/>
  <c r="K182" i="8"/>
  <c r="M181" i="16" s="1"/>
  <c r="M181" i="15"/>
  <c r="K203" i="8"/>
  <c r="M202" i="16" s="1"/>
  <c r="M202" i="15"/>
  <c r="K214" i="8"/>
  <c r="M213" i="16" s="1"/>
  <c r="M213" i="15"/>
  <c r="K233" i="8"/>
  <c r="M232" i="16" s="1"/>
  <c r="M232" i="15"/>
  <c r="K50" i="7"/>
  <c r="N49" i="16" s="1"/>
  <c r="N49" i="15"/>
  <c r="K68" i="7"/>
  <c r="N67" i="16" s="1"/>
  <c r="N67" i="15"/>
  <c r="K150" i="7"/>
  <c r="N149" i="16" s="1"/>
  <c r="N149" i="15"/>
  <c r="K160" i="7"/>
  <c r="N159" i="16" s="1"/>
  <c r="N159" i="15"/>
  <c r="K171" i="7"/>
  <c r="N170" i="16" s="1"/>
  <c r="N170" i="15"/>
  <c r="K181" i="7"/>
  <c r="N180" i="16" s="1"/>
  <c r="N180" i="15"/>
  <c r="K189" i="7"/>
  <c r="N188" i="16" s="1"/>
  <c r="N188" i="15"/>
  <c r="K197" i="7"/>
  <c r="N196" i="16" s="1"/>
  <c r="N196" i="15"/>
  <c r="K208" i="7"/>
  <c r="N207" i="16" s="1"/>
  <c r="N207" i="15"/>
  <c r="J227" i="7"/>
  <c r="N225" i="15"/>
  <c r="K49" i="6"/>
  <c r="O48" i="16" s="1"/>
  <c r="O48" i="15"/>
  <c r="K57" i="6"/>
  <c r="O56" i="16" s="1"/>
  <c r="O56" i="15"/>
  <c r="K134" i="6"/>
  <c r="O133" i="16" s="1"/>
  <c r="O133" i="15"/>
  <c r="K146" i="6"/>
  <c r="O145" i="16" s="1"/>
  <c r="O145" i="15"/>
  <c r="K157" i="6"/>
  <c r="O156" i="16" s="1"/>
  <c r="O156" i="15"/>
  <c r="K168" i="6"/>
  <c r="O167" i="16" s="1"/>
  <c r="O167" i="15"/>
  <c r="K177" i="6"/>
  <c r="O176" i="16" s="1"/>
  <c r="O176" i="15"/>
  <c r="K186" i="6"/>
  <c r="O185" i="16" s="1"/>
  <c r="O185" i="15"/>
  <c r="K193" i="6"/>
  <c r="O192" i="16" s="1"/>
  <c r="O192" i="15"/>
  <c r="K233" i="6"/>
  <c r="O232" i="16" s="1"/>
  <c r="O232" i="15"/>
  <c r="K50" i="5"/>
  <c r="P49" i="16" s="1"/>
  <c r="P49" i="15"/>
  <c r="K69" i="5"/>
  <c r="P68" i="16" s="1"/>
  <c r="P68" i="15"/>
  <c r="K140" i="5"/>
  <c r="P139" i="16" s="1"/>
  <c r="P139" i="15"/>
  <c r="K150" i="5"/>
  <c r="P149" i="16" s="1"/>
  <c r="P149" i="15"/>
  <c r="K159" i="5"/>
  <c r="P158" i="16" s="1"/>
  <c r="P158" i="15"/>
  <c r="K171" i="5"/>
  <c r="P170" i="16" s="1"/>
  <c r="P170" i="15"/>
  <c r="K179" i="5"/>
  <c r="P178" i="16" s="1"/>
  <c r="P178" i="15"/>
  <c r="K186" i="5"/>
  <c r="P185" i="16" s="1"/>
  <c r="P185" i="15"/>
  <c r="K194" i="5"/>
  <c r="P193" i="16" s="1"/>
  <c r="P193" i="15"/>
  <c r="K204" i="5"/>
  <c r="P203" i="16" s="1"/>
  <c r="P203" i="15"/>
  <c r="K214" i="5"/>
  <c r="P213" i="16" s="1"/>
  <c r="P213" i="15"/>
  <c r="K52" i="4"/>
  <c r="Q51" i="16" s="1"/>
  <c r="Q51" i="15"/>
  <c r="K73" i="4"/>
  <c r="Q72" i="16" s="1"/>
  <c r="Q72" i="15"/>
  <c r="K134" i="4"/>
  <c r="Q133" i="16" s="1"/>
  <c r="Q133" i="15"/>
  <c r="K147" i="4"/>
  <c r="Q146" i="16" s="1"/>
  <c r="Q146" i="15"/>
  <c r="K158" i="4"/>
  <c r="Q157" i="16" s="1"/>
  <c r="Q157" i="15"/>
  <c r="K169" i="4"/>
  <c r="Q168" i="16" s="1"/>
  <c r="Q168" i="15"/>
  <c r="K179" i="4"/>
  <c r="Q178" i="16" s="1"/>
  <c r="Q178" i="15"/>
  <c r="K187" i="4"/>
  <c r="Q186" i="16" s="1"/>
  <c r="Q186" i="15"/>
  <c r="K195" i="4"/>
  <c r="Q194" i="16" s="1"/>
  <c r="Q194" i="15"/>
  <c r="K206" i="4"/>
  <c r="Q205" i="16" s="1"/>
  <c r="Q205" i="15"/>
  <c r="J223" i="4"/>
  <c r="Q221" i="15"/>
  <c r="K49" i="2"/>
  <c r="R48" i="16" s="1"/>
  <c r="R48" i="15"/>
  <c r="K57" i="2"/>
  <c r="R56" i="16" s="1"/>
  <c r="R56" i="15"/>
  <c r="K76" i="2"/>
  <c r="R75" i="16" s="1"/>
  <c r="R75" i="15"/>
  <c r="K134" i="2"/>
  <c r="R133" i="16" s="1"/>
  <c r="R133" i="15"/>
  <c r="K191" i="3"/>
  <c r="K190" i="16" s="1"/>
  <c r="K53" i="9"/>
  <c r="L52" i="16" s="1"/>
  <c r="L52" i="15"/>
  <c r="K73" i="9"/>
  <c r="L72" i="16" s="1"/>
  <c r="L72" i="15"/>
  <c r="K132" i="9"/>
  <c r="L131" i="16" s="1"/>
  <c r="L131" i="15"/>
  <c r="K144" i="9"/>
  <c r="L143" i="16" s="1"/>
  <c r="L143" i="15"/>
  <c r="K155" i="9"/>
  <c r="L154" i="16" s="1"/>
  <c r="L154" i="15"/>
  <c r="K163" i="9"/>
  <c r="L162" i="16" s="1"/>
  <c r="L162" i="15"/>
  <c r="K173" i="9"/>
  <c r="L172" i="16" s="1"/>
  <c r="L172" i="15"/>
  <c r="K184" i="9"/>
  <c r="L183" i="16" s="1"/>
  <c r="L183" i="15"/>
  <c r="K194" i="9"/>
  <c r="L193" i="16" s="1"/>
  <c r="L193" i="15"/>
  <c r="K205" i="9"/>
  <c r="L204" i="16" s="1"/>
  <c r="L204" i="15"/>
  <c r="K218" i="9"/>
  <c r="L217" i="16" s="1"/>
  <c r="L217" i="15"/>
  <c r="L240" i="16"/>
  <c r="L240" i="15"/>
  <c r="K55" i="8"/>
  <c r="M54" i="16" s="1"/>
  <c r="M54" i="15"/>
  <c r="K73" i="8"/>
  <c r="M72" i="16" s="1"/>
  <c r="M72" i="15"/>
  <c r="K150" i="8"/>
  <c r="M149" i="16" s="1"/>
  <c r="M149" i="15"/>
  <c r="K160" i="8"/>
  <c r="M159" i="16" s="1"/>
  <c r="M159" i="15"/>
  <c r="K172" i="8"/>
  <c r="M171" i="16" s="1"/>
  <c r="M171" i="15"/>
  <c r="K183" i="8"/>
  <c r="M182" i="16" s="1"/>
  <c r="M182" i="15"/>
  <c r="K192" i="8"/>
  <c r="M191" i="16" s="1"/>
  <c r="M191" i="15"/>
  <c r="K204" i="8"/>
  <c r="M203" i="16" s="1"/>
  <c r="M203" i="15"/>
  <c r="K215" i="8"/>
  <c r="M214" i="16" s="1"/>
  <c r="M214" i="15"/>
  <c r="K234" i="8"/>
  <c r="M233" i="16" s="1"/>
  <c r="M233" i="15"/>
  <c r="K51" i="7"/>
  <c r="N50" i="16" s="1"/>
  <c r="N50" i="15"/>
  <c r="K69" i="7"/>
  <c r="N68" i="16" s="1"/>
  <c r="N68" i="15"/>
  <c r="K130" i="7"/>
  <c r="N129" i="16" s="1"/>
  <c r="N129" i="15"/>
  <c r="K142" i="7"/>
  <c r="N141" i="16" s="1"/>
  <c r="N141" i="15"/>
  <c r="K152" i="7"/>
  <c r="N151" i="16" s="1"/>
  <c r="N151" i="15"/>
  <c r="K161" i="7"/>
  <c r="N160" i="16" s="1"/>
  <c r="N160" i="15"/>
  <c r="K172" i="7"/>
  <c r="N171" i="16" s="1"/>
  <c r="N171" i="15"/>
  <c r="K182" i="7"/>
  <c r="N181" i="16" s="1"/>
  <c r="N181" i="15"/>
  <c r="K190" i="7"/>
  <c r="N189" i="16" s="1"/>
  <c r="N189" i="15"/>
  <c r="K201" i="7"/>
  <c r="N200" i="16" s="1"/>
  <c r="N200" i="15"/>
  <c r="K212" i="7"/>
  <c r="N211" i="16" s="1"/>
  <c r="N211" i="15"/>
  <c r="K232" i="7"/>
  <c r="N231" i="16" s="1"/>
  <c r="N231" i="15"/>
  <c r="K50" i="6"/>
  <c r="O49" i="16" s="1"/>
  <c r="O49" i="15"/>
  <c r="K58" i="6"/>
  <c r="O57" i="16" s="1"/>
  <c r="O57" i="15"/>
  <c r="K135" i="6"/>
  <c r="O134" i="16" s="1"/>
  <c r="O134" i="15"/>
  <c r="K149" i="6"/>
  <c r="O148" i="16" s="1"/>
  <c r="O148" i="15"/>
  <c r="K158" i="6"/>
  <c r="O157" i="16" s="1"/>
  <c r="O157" i="15"/>
  <c r="K169" i="6"/>
  <c r="O168" i="16" s="1"/>
  <c r="O168" i="15"/>
  <c r="K178" i="6"/>
  <c r="O177" i="16" s="1"/>
  <c r="O177" i="15"/>
  <c r="K194" i="6"/>
  <c r="O193" i="16" s="1"/>
  <c r="O193" i="15"/>
  <c r="K204" i="6"/>
  <c r="O203" i="16" s="1"/>
  <c r="O203" i="15"/>
  <c r="K214" i="6"/>
  <c r="O213" i="16" s="1"/>
  <c r="O213" i="15"/>
  <c r="K234" i="6"/>
  <c r="O233" i="16" s="1"/>
  <c r="O233" i="15"/>
  <c r="K51" i="5"/>
  <c r="P50" i="16" s="1"/>
  <c r="P50" i="15"/>
  <c r="K73" i="5"/>
  <c r="P72" i="16" s="1"/>
  <c r="P72" i="15"/>
  <c r="K142" i="5"/>
  <c r="P141" i="16" s="1"/>
  <c r="P141" i="15"/>
  <c r="K152" i="5"/>
  <c r="P151" i="16" s="1"/>
  <c r="P151" i="15"/>
  <c r="K160" i="5"/>
  <c r="P159" i="16" s="1"/>
  <c r="P159" i="15"/>
  <c r="K172" i="5"/>
  <c r="P171" i="16" s="1"/>
  <c r="P171" i="15"/>
  <c r="K187" i="5"/>
  <c r="P186" i="16" s="1"/>
  <c r="P186" i="15"/>
  <c r="K195" i="5"/>
  <c r="P194" i="16" s="1"/>
  <c r="P194" i="15"/>
  <c r="K216" i="5"/>
  <c r="P215" i="16" s="1"/>
  <c r="P215" i="15"/>
  <c r="K239" i="5"/>
  <c r="P238" i="16" s="1"/>
  <c r="P238" i="15"/>
  <c r="K53" i="4"/>
  <c r="Q52" i="16" s="1"/>
  <c r="Q52" i="15"/>
  <c r="K74" i="4"/>
  <c r="Q73" i="16" s="1"/>
  <c r="Q73" i="15"/>
  <c r="K135" i="4"/>
  <c r="Q134" i="16" s="1"/>
  <c r="Q134" i="15"/>
  <c r="K149" i="4"/>
  <c r="Q148" i="16" s="1"/>
  <c r="Q148" i="15"/>
  <c r="K159" i="4"/>
  <c r="Q158" i="16" s="1"/>
  <c r="Q158" i="15"/>
  <c r="K170" i="4"/>
  <c r="Q169" i="16" s="1"/>
  <c r="Q169" i="15"/>
  <c r="K180" i="4"/>
  <c r="Q179" i="16" s="1"/>
  <c r="Q179" i="15"/>
  <c r="K188" i="4"/>
  <c r="Q187" i="16" s="1"/>
  <c r="Q187" i="15"/>
  <c r="K196" i="4"/>
  <c r="Q195" i="16" s="1"/>
  <c r="Q195" i="15"/>
  <c r="K207" i="4"/>
  <c r="Q206" i="16" s="1"/>
  <c r="Q206" i="15"/>
  <c r="K226" i="4"/>
  <c r="Q225" i="15"/>
  <c r="K50" i="2"/>
  <c r="R49" i="16" s="1"/>
  <c r="R49" i="15"/>
  <c r="K58" i="2"/>
  <c r="R57" i="16" s="1"/>
  <c r="R57" i="15"/>
  <c r="K135" i="2"/>
  <c r="R134" i="16" s="1"/>
  <c r="R134" i="15"/>
  <c r="K145" i="2"/>
  <c r="R144" i="16" s="1"/>
  <c r="R144" i="15"/>
  <c r="K166" i="2"/>
  <c r="R165" i="16" s="1"/>
  <c r="R165" i="15"/>
  <c r="K172" i="2"/>
  <c r="R171" i="16" s="1"/>
  <c r="R171" i="15"/>
  <c r="K179" i="2"/>
  <c r="R178" i="16" s="1"/>
  <c r="R178" i="15"/>
  <c r="K186" i="2"/>
  <c r="R185" i="16" s="1"/>
  <c r="R185" i="15"/>
  <c r="K192" i="2"/>
  <c r="R191" i="16" s="1"/>
  <c r="R191" i="15"/>
  <c r="K208" i="2"/>
  <c r="R207" i="16" s="1"/>
  <c r="R207" i="15"/>
  <c r="K240" i="2"/>
  <c r="R239" i="16" s="1"/>
  <c r="R239" i="15"/>
  <c r="K162" i="9"/>
  <c r="L161" i="16" s="1"/>
  <c r="L161" i="15"/>
  <c r="K149" i="8"/>
  <c r="M148" i="16" s="1"/>
  <c r="M148" i="15"/>
  <c r="K74" i="9"/>
  <c r="L73" i="16" s="1"/>
  <c r="L73" i="15"/>
  <c r="K156" i="9"/>
  <c r="L155" i="16" s="1"/>
  <c r="L155" i="15"/>
  <c r="K185" i="9"/>
  <c r="L184" i="16" s="1"/>
  <c r="L184" i="15"/>
  <c r="K222" i="9"/>
  <c r="L221" i="15"/>
  <c r="K74" i="8"/>
  <c r="M73" i="16" s="1"/>
  <c r="M73" i="15"/>
  <c r="K152" i="8"/>
  <c r="M151" i="16" s="1"/>
  <c r="M151" i="15"/>
  <c r="K173" i="8"/>
  <c r="M172" i="16" s="1"/>
  <c r="M172" i="15"/>
  <c r="K216" i="8"/>
  <c r="M215" i="16" s="1"/>
  <c r="M215" i="15"/>
  <c r="K73" i="7"/>
  <c r="N72" i="16" s="1"/>
  <c r="N72" i="15"/>
  <c r="K143" i="7"/>
  <c r="N142" i="16" s="1"/>
  <c r="N142" i="15"/>
  <c r="K191" i="7"/>
  <c r="N190" i="16" s="1"/>
  <c r="N190" i="15"/>
  <c r="K213" i="7"/>
  <c r="N212" i="16" s="1"/>
  <c r="N212" i="15"/>
  <c r="K68" i="6"/>
  <c r="O67" i="16" s="1"/>
  <c r="O67" i="15"/>
  <c r="K139" i="6"/>
  <c r="O138" i="16" s="1"/>
  <c r="O138" i="15"/>
  <c r="K170" i="6"/>
  <c r="O169" i="16" s="1"/>
  <c r="O169" i="15"/>
  <c r="K195" i="6"/>
  <c r="O194" i="16" s="1"/>
  <c r="O194" i="15"/>
  <c r="K216" i="6"/>
  <c r="O215" i="16" s="1"/>
  <c r="O215" i="15"/>
  <c r="K74" i="5"/>
  <c r="P73" i="16" s="1"/>
  <c r="P73" i="15"/>
  <c r="K153" i="5"/>
  <c r="P152" i="16" s="1"/>
  <c r="P152" i="15"/>
  <c r="K55" i="4"/>
  <c r="Q54" i="16" s="1"/>
  <c r="Q54" i="15"/>
  <c r="K160" i="4"/>
  <c r="Q159" i="16" s="1"/>
  <c r="Q159" i="15"/>
  <c r="K189" i="4"/>
  <c r="Q188" i="16" s="1"/>
  <c r="Q188" i="15"/>
  <c r="K197" i="4"/>
  <c r="Q196" i="16" s="1"/>
  <c r="Q196" i="15"/>
  <c r="K51" i="2"/>
  <c r="R50" i="16" s="1"/>
  <c r="R50" i="15"/>
  <c r="K146" i="2"/>
  <c r="R145" i="16" s="1"/>
  <c r="R145" i="15"/>
  <c r="K159" i="2"/>
  <c r="R158" i="16" s="1"/>
  <c r="R158" i="15"/>
  <c r="K173" i="2"/>
  <c r="R172" i="16" s="1"/>
  <c r="R172" i="15"/>
  <c r="K241" i="2"/>
  <c r="R240" i="16" s="1"/>
  <c r="R240" i="15"/>
  <c r="K55" i="9"/>
  <c r="L54" i="16" s="1"/>
  <c r="L54" i="15"/>
  <c r="K75" i="9"/>
  <c r="L74" i="16" s="1"/>
  <c r="L74" i="15"/>
  <c r="K134" i="9"/>
  <c r="L133" i="16" s="1"/>
  <c r="L133" i="15"/>
  <c r="K146" i="9"/>
  <c r="L145" i="16" s="1"/>
  <c r="L145" i="15"/>
  <c r="K157" i="9"/>
  <c r="L156" i="16" s="1"/>
  <c r="L156" i="15"/>
  <c r="K166" i="9"/>
  <c r="L165" i="16" s="1"/>
  <c r="L165" i="15"/>
  <c r="K176" i="9"/>
  <c r="L175" i="16" s="1"/>
  <c r="L175" i="15"/>
  <c r="K186" i="9"/>
  <c r="L185" i="16" s="1"/>
  <c r="L185" i="15"/>
  <c r="K196" i="9"/>
  <c r="L195" i="16" s="1"/>
  <c r="L195" i="15"/>
  <c r="K208" i="9"/>
  <c r="L207" i="16" s="1"/>
  <c r="L207" i="15"/>
  <c r="K226" i="9"/>
  <c r="L225" i="15"/>
  <c r="K49" i="8"/>
  <c r="M48" i="16" s="1"/>
  <c r="M48" i="15"/>
  <c r="K57" i="8"/>
  <c r="M56" i="16" s="1"/>
  <c r="M56" i="15"/>
  <c r="K75" i="8"/>
  <c r="M74" i="16" s="1"/>
  <c r="M74" i="15"/>
  <c r="K131" i="8"/>
  <c r="M130" i="16" s="1"/>
  <c r="M130" i="15"/>
  <c r="K142" i="8"/>
  <c r="M141" i="16" s="1"/>
  <c r="M141" i="15"/>
  <c r="K153" i="8"/>
  <c r="M152" i="16" s="1"/>
  <c r="M152" i="15"/>
  <c r="K163" i="8"/>
  <c r="M162" i="16" s="1"/>
  <c r="M162" i="15"/>
  <c r="K174" i="8"/>
  <c r="M173" i="16" s="1"/>
  <c r="M173" i="15"/>
  <c r="K185" i="8"/>
  <c r="M184" i="16" s="1"/>
  <c r="M184" i="15"/>
  <c r="K195" i="8"/>
  <c r="M194" i="16" s="1"/>
  <c r="M194" i="15"/>
  <c r="K206" i="8"/>
  <c r="M205" i="16" s="1"/>
  <c r="M205" i="15"/>
  <c r="K217" i="8"/>
  <c r="M216" i="16" s="1"/>
  <c r="M216" i="15"/>
  <c r="K240" i="8"/>
  <c r="M239" i="16" s="1"/>
  <c r="M239" i="15"/>
  <c r="K53" i="7"/>
  <c r="N52" i="16" s="1"/>
  <c r="N52" i="15"/>
  <c r="K74" i="7"/>
  <c r="N73" i="16" s="1"/>
  <c r="N73" i="15"/>
  <c r="K132" i="7"/>
  <c r="N131" i="16" s="1"/>
  <c r="N131" i="15"/>
  <c r="K144" i="7"/>
  <c r="N143" i="16" s="1"/>
  <c r="N143" i="15"/>
  <c r="K155" i="7"/>
  <c r="N154" i="16" s="1"/>
  <c r="N154" i="15"/>
  <c r="K166" i="7"/>
  <c r="N165" i="16" s="1"/>
  <c r="N165" i="15"/>
  <c r="K174" i="7"/>
  <c r="N173" i="16" s="1"/>
  <c r="N173" i="15"/>
  <c r="K184" i="7"/>
  <c r="N183" i="16" s="1"/>
  <c r="N183" i="15"/>
  <c r="K192" i="7"/>
  <c r="N191" i="16" s="1"/>
  <c r="N191" i="15"/>
  <c r="K203" i="7"/>
  <c r="N202" i="16" s="1"/>
  <c r="N202" i="15"/>
  <c r="K214" i="7"/>
  <c r="N213" i="16" s="1"/>
  <c r="N213" i="15"/>
  <c r="K234" i="7"/>
  <c r="N233" i="16" s="1"/>
  <c r="N233" i="15"/>
  <c r="K52" i="6"/>
  <c r="O51" i="16" s="1"/>
  <c r="O51" i="15"/>
  <c r="K69" i="6"/>
  <c r="O68" i="16" s="1"/>
  <c r="O68" i="15"/>
  <c r="K140" i="6"/>
  <c r="O139" i="16" s="1"/>
  <c r="O139" i="15"/>
  <c r="O151" i="16"/>
  <c r="O151" i="15"/>
  <c r="K161" i="6"/>
  <c r="O160" i="16" s="1"/>
  <c r="O160" i="15"/>
  <c r="K171" i="6"/>
  <c r="O170" i="16" s="1"/>
  <c r="O170" i="15"/>
  <c r="K181" i="6"/>
  <c r="O180" i="16" s="1"/>
  <c r="O180" i="15"/>
  <c r="K188" i="6"/>
  <c r="O187" i="16" s="1"/>
  <c r="O187" i="15"/>
  <c r="K196" i="6"/>
  <c r="O195" i="16" s="1"/>
  <c r="O195" i="15"/>
  <c r="K206" i="6"/>
  <c r="O205" i="16" s="1"/>
  <c r="O205" i="15"/>
  <c r="K217" i="6"/>
  <c r="O216" i="16" s="1"/>
  <c r="O216" i="15"/>
  <c r="K239" i="6"/>
  <c r="O238" i="16" s="1"/>
  <c r="K54" i="5"/>
  <c r="P53" i="16" s="1"/>
  <c r="P53" i="15"/>
  <c r="K76" i="5"/>
  <c r="P75" i="16" s="1"/>
  <c r="P75" i="15"/>
  <c r="K131" i="5"/>
  <c r="P130" i="16" s="1"/>
  <c r="P130" i="15"/>
  <c r="K144" i="5"/>
  <c r="P143" i="16" s="1"/>
  <c r="P143" i="15"/>
  <c r="K154" i="5"/>
  <c r="P153" i="16" s="1"/>
  <c r="P153" i="15"/>
  <c r="K165" i="5"/>
  <c r="P164" i="16" s="1"/>
  <c r="P164" i="15"/>
  <c r="K174" i="5"/>
  <c r="P173" i="16" s="1"/>
  <c r="P173" i="15"/>
  <c r="K181" i="5"/>
  <c r="P180" i="16" s="1"/>
  <c r="P180" i="15"/>
  <c r="K189" i="5"/>
  <c r="P188" i="16" s="1"/>
  <c r="P188" i="15"/>
  <c r="K196" i="5"/>
  <c r="P195" i="16" s="1"/>
  <c r="K206" i="5"/>
  <c r="P205" i="16" s="1"/>
  <c r="K218" i="5"/>
  <c r="P217" i="16" s="1"/>
  <c r="P217" i="15"/>
  <c r="P240" i="16"/>
  <c r="P240" i="15"/>
  <c r="K56" i="4"/>
  <c r="Q55" i="16" s="1"/>
  <c r="Q55" i="15"/>
  <c r="K76" i="4"/>
  <c r="Q75" i="16" s="1"/>
  <c r="Q75" i="15"/>
  <c r="K140" i="4"/>
  <c r="Q139" i="16" s="1"/>
  <c r="Q139" i="15"/>
  <c r="K152" i="4"/>
  <c r="Q151" i="16" s="1"/>
  <c r="Q151" i="15"/>
  <c r="K161" i="4"/>
  <c r="Q160" i="16" s="1"/>
  <c r="Q160" i="15"/>
  <c r="K173" i="4"/>
  <c r="Q172" i="16" s="1"/>
  <c r="Q172" i="15"/>
  <c r="K182" i="4"/>
  <c r="Q181" i="16" s="1"/>
  <c r="Q181" i="15"/>
  <c r="K190" i="4"/>
  <c r="Q189" i="16" s="1"/>
  <c r="Q189" i="15"/>
  <c r="K212" i="4"/>
  <c r="Q211" i="16" s="1"/>
  <c r="Q211" i="15"/>
  <c r="K233" i="4"/>
  <c r="Q232" i="16" s="1"/>
  <c r="Q232" i="15"/>
  <c r="K52" i="2"/>
  <c r="R51" i="16" s="1"/>
  <c r="R51" i="15"/>
  <c r="K68" i="2"/>
  <c r="R67" i="16" s="1"/>
  <c r="R67" i="15"/>
  <c r="K130" i="2"/>
  <c r="R129" i="16" s="1"/>
  <c r="R129" i="15"/>
  <c r="K140" i="2"/>
  <c r="R139" i="16" s="1"/>
  <c r="R139" i="15"/>
  <c r="K153" i="2"/>
  <c r="R152" i="16" s="1"/>
  <c r="R152" i="15"/>
  <c r="K160" i="2"/>
  <c r="R159" i="16" s="1"/>
  <c r="R159" i="15"/>
  <c r="K167" i="2"/>
  <c r="R166" i="16" s="1"/>
  <c r="K174" i="2"/>
  <c r="R173" i="16" s="1"/>
  <c r="R173" i="15"/>
  <c r="K181" i="2"/>
  <c r="R180" i="16" s="1"/>
  <c r="R180" i="15"/>
  <c r="K194" i="2"/>
  <c r="R193" i="16" s="1"/>
  <c r="R193" i="15"/>
  <c r="K203" i="2"/>
  <c r="R202" i="16" s="1"/>
  <c r="R202" i="15"/>
  <c r="K212" i="2"/>
  <c r="R211" i="16" s="1"/>
  <c r="J223" i="2"/>
  <c r="R221" i="15"/>
  <c r="K51" i="9"/>
  <c r="L50" i="16" s="1"/>
  <c r="L50" i="15"/>
  <c r="K153" i="9"/>
  <c r="L152" i="16" s="1"/>
  <c r="L152" i="15"/>
  <c r="K193" i="9"/>
  <c r="L192" i="16" s="1"/>
  <c r="L192" i="15"/>
  <c r="K145" i="9"/>
  <c r="L144" i="16" s="1"/>
  <c r="L144" i="15"/>
  <c r="K195" i="9"/>
  <c r="L194" i="16" s="1"/>
  <c r="L194" i="15"/>
  <c r="K141" i="8"/>
  <c r="M140" i="16" s="1"/>
  <c r="M140" i="15"/>
  <c r="K205" i="8"/>
  <c r="M204" i="16" s="1"/>
  <c r="M204" i="15"/>
  <c r="K173" i="7"/>
  <c r="N172" i="16" s="1"/>
  <c r="N172" i="15"/>
  <c r="K233" i="7"/>
  <c r="N232" i="16" s="1"/>
  <c r="N232" i="15"/>
  <c r="K180" i="6"/>
  <c r="O179" i="16" s="1"/>
  <c r="O179" i="15"/>
  <c r="K161" i="5"/>
  <c r="P160" i="16" s="1"/>
  <c r="P160" i="15"/>
  <c r="K217" i="5"/>
  <c r="P216" i="16" s="1"/>
  <c r="P216" i="15"/>
  <c r="K171" i="4"/>
  <c r="Q170" i="16" s="1"/>
  <c r="Q170" i="15"/>
  <c r="K232" i="4"/>
  <c r="Q231" i="16" s="1"/>
  <c r="Q231" i="15"/>
  <c r="K180" i="2"/>
  <c r="R179" i="16" s="1"/>
  <c r="R179" i="15"/>
  <c r="K187" i="2"/>
  <c r="R186" i="16" s="1"/>
  <c r="R186" i="15"/>
  <c r="K193" i="2"/>
  <c r="R192" i="16" s="1"/>
  <c r="R192" i="15"/>
  <c r="K232" i="15"/>
  <c r="K56" i="9"/>
  <c r="L55" i="16" s="1"/>
  <c r="L55" i="15"/>
  <c r="K76" i="9"/>
  <c r="L75" i="16" s="1"/>
  <c r="L75" i="15"/>
  <c r="K135" i="9"/>
  <c r="L134" i="16" s="1"/>
  <c r="L134" i="15"/>
  <c r="K147" i="9"/>
  <c r="L146" i="16" s="1"/>
  <c r="L146" i="15"/>
  <c r="K158" i="9"/>
  <c r="L157" i="16" s="1"/>
  <c r="L157" i="15"/>
  <c r="K167" i="9"/>
  <c r="L166" i="16" s="1"/>
  <c r="L166" i="15"/>
  <c r="K177" i="9"/>
  <c r="L176" i="16" s="1"/>
  <c r="L176" i="15"/>
  <c r="K187" i="9"/>
  <c r="L186" i="16" s="1"/>
  <c r="L186" i="15"/>
  <c r="K197" i="9"/>
  <c r="L196" i="16" s="1"/>
  <c r="L196" i="15"/>
  <c r="K212" i="9"/>
  <c r="L211" i="16" s="1"/>
  <c r="L211" i="15"/>
  <c r="K232" i="9"/>
  <c r="L231" i="16" s="1"/>
  <c r="L231" i="15"/>
  <c r="K50" i="8"/>
  <c r="M49" i="16" s="1"/>
  <c r="M49" i="15"/>
  <c r="K58" i="8"/>
  <c r="M57" i="16" s="1"/>
  <c r="M57" i="15"/>
  <c r="K132" i="8"/>
  <c r="M131" i="16" s="1"/>
  <c r="M131" i="15"/>
  <c r="K144" i="8"/>
  <c r="M143" i="16" s="1"/>
  <c r="M143" i="15"/>
  <c r="K154" i="8"/>
  <c r="M153" i="16" s="1"/>
  <c r="M153" i="15"/>
  <c r="K165" i="8"/>
  <c r="M164" i="16" s="1"/>
  <c r="M164" i="15"/>
  <c r="K178" i="8"/>
  <c r="M177" i="16" s="1"/>
  <c r="M177" i="15"/>
  <c r="K186" i="8"/>
  <c r="M185" i="16" s="1"/>
  <c r="M185" i="15"/>
  <c r="K196" i="8"/>
  <c r="M195" i="16" s="1"/>
  <c r="M195" i="15"/>
  <c r="K207" i="8"/>
  <c r="M206" i="16" s="1"/>
  <c r="M206" i="15"/>
  <c r="K218" i="8"/>
  <c r="M217" i="16" s="1"/>
  <c r="M217" i="15"/>
  <c r="K241" i="8"/>
  <c r="M240" i="16" s="1"/>
  <c r="M240" i="15"/>
  <c r="K54" i="7"/>
  <c r="N53" i="16" s="1"/>
  <c r="N53" i="15"/>
  <c r="K75" i="7"/>
  <c r="N74" i="16" s="1"/>
  <c r="N74" i="15"/>
  <c r="K133" i="7"/>
  <c r="N132" i="16" s="1"/>
  <c r="N132" i="15"/>
  <c r="K145" i="7"/>
  <c r="N144" i="16" s="1"/>
  <c r="N144" i="15"/>
  <c r="K156" i="7"/>
  <c r="N155" i="16" s="1"/>
  <c r="N155" i="15"/>
  <c r="K167" i="7"/>
  <c r="N166" i="16" s="1"/>
  <c r="N166" i="15"/>
  <c r="K176" i="7"/>
  <c r="N175" i="16" s="1"/>
  <c r="N175" i="15"/>
  <c r="K185" i="7"/>
  <c r="N184" i="16" s="1"/>
  <c r="N184" i="15"/>
  <c r="K193" i="7"/>
  <c r="N192" i="16" s="1"/>
  <c r="N192" i="15"/>
  <c r="K204" i="7"/>
  <c r="N203" i="16" s="1"/>
  <c r="N203" i="15"/>
  <c r="K216" i="7"/>
  <c r="N215" i="16" s="1"/>
  <c r="N215" i="15"/>
  <c r="K239" i="7"/>
  <c r="N238" i="16" s="1"/>
  <c r="N238" i="15"/>
  <c r="K53" i="6"/>
  <c r="O52" i="16" s="1"/>
  <c r="O52" i="15"/>
  <c r="K73" i="6"/>
  <c r="O72" i="16" s="1"/>
  <c r="O72" i="15"/>
  <c r="K142" i="6"/>
  <c r="O141" i="16" s="1"/>
  <c r="O141" i="15"/>
  <c r="K153" i="6"/>
  <c r="O152" i="16" s="1"/>
  <c r="O152" i="15"/>
  <c r="K163" i="6"/>
  <c r="O162" i="16" s="1"/>
  <c r="O162" i="15"/>
  <c r="K172" i="6"/>
  <c r="O171" i="16" s="1"/>
  <c r="O171" i="15"/>
  <c r="K182" i="6"/>
  <c r="O181" i="16" s="1"/>
  <c r="O181" i="15"/>
  <c r="K189" i="6"/>
  <c r="O188" i="16" s="1"/>
  <c r="O188" i="15"/>
  <c r="K197" i="6"/>
  <c r="O196" i="16" s="1"/>
  <c r="O196" i="15"/>
  <c r="K207" i="6"/>
  <c r="O206" i="16" s="1"/>
  <c r="O206" i="15"/>
  <c r="K218" i="6"/>
  <c r="O217" i="16" s="1"/>
  <c r="O217" i="15"/>
  <c r="K240" i="6"/>
  <c r="O239" i="16" s="1"/>
  <c r="O239" i="15"/>
  <c r="K55" i="5"/>
  <c r="P54" i="16" s="1"/>
  <c r="P54" i="15"/>
  <c r="K132" i="5"/>
  <c r="P131" i="16" s="1"/>
  <c r="P131" i="15"/>
  <c r="K145" i="5"/>
  <c r="P144" i="16" s="1"/>
  <c r="P144" i="15"/>
  <c r="K155" i="5"/>
  <c r="P154" i="16" s="1"/>
  <c r="P154" i="15"/>
  <c r="K166" i="5"/>
  <c r="P165" i="16" s="1"/>
  <c r="P165" i="15"/>
  <c r="K175" i="5"/>
  <c r="P174" i="16" s="1"/>
  <c r="P174" i="15"/>
  <c r="K182" i="5"/>
  <c r="P181" i="16" s="1"/>
  <c r="P181" i="15"/>
  <c r="K190" i="5"/>
  <c r="P189" i="16" s="1"/>
  <c r="P189" i="15"/>
  <c r="K197" i="5"/>
  <c r="P196" i="16" s="1"/>
  <c r="P196" i="15"/>
  <c r="K207" i="5"/>
  <c r="P206" i="16" s="1"/>
  <c r="P206" i="15"/>
  <c r="J223" i="5"/>
  <c r="P221" i="15"/>
  <c r="K242" i="5"/>
  <c r="P241" i="16" s="1"/>
  <c r="P241" i="15"/>
  <c r="K57" i="4"/>
  <c r="Q56" i="16" s="1"/>
  <c r="Q56" i="15"/>
  <c r="K142" i="4"/>
  <c r="Q141" i="16" s="1"/>
  <c r="Q141" i="15"/>
  <c r="K153" i="4"/>
  <c r="Q152" i="16" s="1"/>
  <c r="Q152" i="15"/>
  <c r="K165" i="4"/>
  <c r="Q164" i="16" s="1"/>
  <c r="Q164" i="15"/>
  <c r="K174" i="4"/>
  <c r="Q173" i="16" s="1"/>
  <c r="Q173" i="15"/>
  <c r="K183" i="4"/>
  <c r="Q182" i="16" s="1"/>
  <c r="Q182" i="15"/>
  <c r="K191" i="4"/>
  <c r="Q190" i="16" s="1"/>
  <c r="Q190" i="15"/>
  <c r="K202" i="4"/>
  <c r="Q201" i="16" s="1"/>
  <c r="Q201" i="15"/>
  <c r="K213" i="4"/>
  <c r="Q212" i="16" s="1"/>
  <c r="Q212" i="15"/>
  <c r="K53" i="2"/>
  <c r="R52" i="16" s="1"/>
  <c r="R52" i="15"/>
  <c r="K69" i="2"/>
  <c r="R68" i="16" s="1"/>
  <c r="R68" i="15"/>
  <c r="K131" i="2"/>
  <c r="R130" i="16" s="1"/>
  <c r="R130" i="15"/>
  <c r="K141" i="2"/>
  <c r="R140" i="16" s="1"/>
  <c r="R140" i="15"/>
  <c r="K147" i="2"/>
  <c r="R146" i="16" s="1"/>
  <c r="K154" i="2"/>
  <c r="R153" i="16" s="1"/>
  <c r="R153" i="15"/>
  <c r="K161" i="2"/>
  <c r="R160" i="16" s="1"/>
  <c r="R160" i="15"/>
  <c r="K168" i="2"/>
  <c r="R167" i="16" s="1"/>
  <c r="R167" i="15"/>
  <c r="K175" i="2"/>
  <c r="R174" i="16" s="1"/>
  <c r="R174" i="15"/>
  <c r="K182" i="2"/>
  <c r="R181" i="16" s="1"/>
  <c r="R181" i="15"/>
  <c r="K188" i="2"/>
  <c r="R187" i="16" s="1"/>
  <c r="K195" i="2"/>
  <c r="R194" i="16" s="1"/>
  <c r="R194" i="15"/>
  <c r="K204" i="2"/>
  <c r="R203" i="16" s="1"/>
  <c r="R203" i="15"/>
  <c r="K213" i="2"/>
  <c r="R212" i="16" s="1"/>
  <c r="R212" i="15"/>
  <c r="K226" i="2"/>
  <c r="R225" i="15"/>
  <c r="K242" i="2"/>
  <c r="R241" i="16" s="1"/>
  <c r="K131" i="9"/>
  <c r="L130" i="16" s="1"/>
  <c r="L130" i="15"/>
  <c r="K207" i="9"/>
  <c r="L206" i="16" s="1"/>
  <c r="L206" i="15"/>
  <c r="K239" i="8"/>
  <c r="M238" i="15"/>
  <c r="K183" i="7"/>
  <c r="N182" i="16" s="1"/>
  <c r="N182" i="15"/>
  <c r="K143" i="5"/>
  <c r="P142" i="16" s="1"/>
  <c r="P142" i="15"/>
  <c r="K179" i="15"/>
  <c r="K57" i="9"/>
  <c r="L56" i="16" s="1"/>
  <c r="L56" i="15"/>
  <c r="K139" i="9"/>
  <c r="L138" i="16" s="1"/>
  <c r="L138" i="15"/>
  <c r="K149" i="9"/>
  <c r="L148" i="16" s="1"/>
  <c r="L148" i="15"/>
  <c r="K159" i="9"/>
  <c r="L158" i="16" s="1"/>
  <c r="L158" i="15"/>
  <c r="K168" i="9"/>
  <c r="L167" i="16" s="1"/>
  <c r="L167" i="15"/>
  <c r="K179" i="9"/>
  <c r="L178" i="16" s="1"/>
  <c r="L178" i="15"/>
  <c r="K188" i="9"/>
  <c r="L187" i="16" s="1"/>
  <c r="L187" i="15"/>
  <c r="K201" i="9"/>
  <c r="L200" i="16" s="1"/>
  <c r="L200" i="15"/>
  <c r="K213" i="9"/>
  <c r="L212" i="16" s="1"/>
  <c r="L212" i="15"/>
  <c r="K233" i="9"/>
  <c r="L232" i="16" s="1"/>
  <c r="L232" i="15"/>
  <c r="K51" i="8"/>
  <c r="M50" i="16" s="1"/>
  <c r="M50" i="15"/>
  <c r="K62" i="8"/>
  <c r="M61" i="15"/>
  <c r="K133" i="8"/>
  <c r="M132" i="16" s="1"/>
  <c r="M132" i="15"/>
  <c r="K145" i="8"/>
  <c r="M144" i="16" s="1"/>
  <c r="M144" i="15"/>
  <c r="K155" i="8"/>
  <c r="M154" i="16" s="1"/>
  <c r="M154" i="15"/>
  <c r="K168" i="8"/>
  <c r="M167" i="16" s="1"/>
  <c r="M167" i="15"/>
  <c r="K179" i="8"/>
  <c r="M178" i="16" s="1"/>
  <c r="M178" i="15"/>
  <c r="K187" i="8"/>
  <c r="M186" i="16" s="1"/>
  <c r="M186" i="15"/>
  <c r="K197" i="8"/>
  <c r="M196" i="16" s="1"/>
  <c r="M196" i="15"/>
  <c r="K208" i="8"/>
  <c r="M207" i="16" s="1"/>
  <c r="M207" i="15"/>
  <c r="K222" i="8"/>
  <c r="M221" i="15"/>
  <c r="K242" i="8"/>
  <c r="M241" i="16" s="1"/>
  <c r="M241" i="15"/>
  <c r="K56" i="7"/>
  <c r="N55" i="16" s="1"/>
  <c r="N55" i="15"/>
  <c r="K134" i="7"/>
  <c r="N133" i="16" s="1"/>
  <c r="N133" i="15"/>
  <c r="K146" i="7"/>
  <c r="N145" i="16" s="1"/>
  <c r="N145" i="15"/>
  <c r="K157" i="7"/>
  <c r="N156" i="16" s="1"/>
  <c r="N156" i="15"/>
  <c r="K168" i="7"/>
  <c r="N167" i="16" s="1"/>
  <c r="N167" i="15"/>
  <c r="K177" i="7"/>
  <c r="N176" i="16" s="1"/>
  <c r="N176" i="15"/>
  <c r="K186" i="7"/>
  <c r="N185" i="16" s="1"/>
  <c r="N185" i="15"/>
  <c r="K194" i="7"/>
  <c r="N193" i="16" s="1"/>
  <c r="N193" i="15"/>
  <c r="K205" i="7"/>
  <c r="N204" i="16" s="1"/>
  <c r="N204" i="15"/>
  <c r="K217" i="7"/>
  <c r="N216" i="16" s="1"/>
  <c r="N216" i="15"/>
  <c r="K240" i="7"/>
  <c r="N239" i="16" s="1"/>
  <c r="N239" i="15"/>
  <c r="K54" i="6"/>
  <c r="O53" i="16" s="1"/>
  <c r="O53" i="15"/>
  <c r="K74" i="6"/>
  <c r="O73" i="16" s="1"/>
  <c r="O73" i="15"/>
  <c r="K131" i="6"/>
  <c r="O130" i="16" s="1"/>
  <c r="O130" i="15"/>
  <c r="K143" i="6"/>
  <c r="O142" i="16" s="1"/>
  <c r="O142" i="15"/>
  <c r="K154" i="6"/>
  <c r="O153" i="16" s="1"/>
  <c r="O153" i="15"/>
  <c r="K165" i="6"/>
  <c r="O164" i="16" s="1"/>
  <c r="O164" i="15"/>
  <c r="K173" i="6"/>
  <c r="O172" i="16" s="1"/>
  <c r="O172" i="15"/>
  <c r="K183" i="6"/>
  <c r="O182" i="16" s="1"/>
  <c r="O182" i="15"/>
  <c r="K190" i="6"/>
  <c r="O189" i="16" s="1"/>
  <c r="O189" i="15"/>
  <c r="K208" i="6"/>
  <c r="O207" i="16" s="1"/>
  <c r="O207" i="15"/>
  <c r="J223" i="6"/>
  <c r="O222" i="15" s="1"/>
  <c r="O221" i="15"/>
  <c r="O240" i="16"/>
  <c r="O240" i="15"/>
  <c r="K56" i="5"/>
  <c r="P55" i="16" s="1"/>
  <c r="P55" i="15"/>
  <c r="K133" i="5"/>
  <c r="P132" i="16" s="1"/>
  <c r="P132" i="15"/>
  <c r="K146" i="5"/>
  <c r="P145" i="16" s="1"/>
  <c r="P145" i="15"/>
  <c r="K156" i="5"/>
  <c r="P155" i="16" s="1"/>
  <c r="P155" i="15"/>
  <c r="K167" i="5"/>
  <c r="P166" i="16" s="1"/>
  <c r="P166" i="15"/>
  <c r="K183" i="5"/>
  <c r="P182" i="16" s="1"/>
  <c r="P182" i="15"/>
  <c r="K191" i="5"/>
  <c r="P190" i="16" s="1"/>
  <c r="P190" i="15"/>
  <c r="K201" i="5"/>
  <c r="P200" i="16" s="1"/>
  <c r="P200" i="15"/>
  <c r="K208" i="5"/>
  <c r="P207" i="16" s="1"/>
  <c r="P207" i="15"/>
  <c r="K226" i="5"/>
  <c r="P225" i="15"/>
  <c r="K49" i="4"/>
  <c r="Q48" i="16" s="1"/>
  <c r="Q48" i="15"/>
  <c r="K58" i="4"/>
  <c r="Q57" i="16" s="1"/>
  <c r="Q57" i="15"/>
  <c r="K144" i="4"/>
  <c r="Q143" i="16" s="1"/>
  <c r="Q143" i="15"/>
  <c r="K155" i="4"/>
  <c r="Q154" i="16" s="1"/>
  <c r="Q154" i="15"/>
  <c r="K166" i="4"/>
  <c r="Q165" i="16" s="1"/>
  <c r="Q165" i="15"/>
  <c r="K175" i="4"/>
  <c r="Q174" i="16" s="1"/>
  <c r="Q174" i="15"/>
  <c r="K184" i="4"/>
  <c r="Q183" i="16" s="1"/>
  <c r="Q183" i="15"/>
  <c r="K192" i="4"/>
  <c r="Q191" i="16" s="1"/>
  <c r="Q191" i="15"/>
  <c r="K203" i="4"/>
  <c r="Q202" i="16" s="1"/>
  <c r="Q202" i="15"/>
  <c r="K216" i="4"/>
  <c r="Q215" i="16" s="1"/>
  <c r="Q215" i="15"/>
  <c r="K239" i="4"/>
  <c r="Q238" i="16" s="1"/>
  <c r="Q238" i="15"/>
  <c r="K54" i="2"/>
  <c r="R53" i="16" s="1"/>
  <c r="R53" i="15"/>
  <c r="K148" i="2"/>
  <c r="R147" i="16" s="1"/>
  <c r="R147" i="15"/>
  <c r="K155" i="2"/>
  <c r="R154" i="16" s="1"/>
  <c r="R154" i="15"/>
  <c r="K162" i="2"/>
  <c r="R161" i="16" s="1"/>
  <c r="R161" i="15"/>
  <c r="K169" i="2"/>
  <c r="R168" i="16" s="1"/>
  <c r="R168" i="15"/>
  <c r="K183" i="2"/>
  <c r="R182" i="16" s="1"/>
  <c r="R182" i="15"/>
  <c r="K189" i="2"/>
  <c r="R188" i="16" s="1"/>
  <c r="R188" i="15"/>
  <c r="K196" i="2"/>
  <c r="R195" i="16" s="1"/>
  <c r="R195" i="15"/>
  <c r="K214" i="2"/>
  <c r="R213" i="16" s="1"/>
  <c r="R213" i="15"/>
  <c r="K232" i="2"/>
  <c r="R231" i="16" s="1"/>
  <c r="R231" i="15"/>
  <c r="K171" i="9"/>
  <c r="L170" i="16" s="1"/>
  <c r="L170" i="15"/>
  <c r="K139" i="8"/>
  <c r="M138" i="16" s="1"/>
  <c r="M138" i="15"/>
  <c r="K54" i="9"/>
  <c r="L53" i="16" s="1"/>
  <c r="L53" i="15"/>
  <c r="K133" i="9"/>
  <c r="L132" i="16" s="1"/>
  <c r="L132" i="15"/>
  <c r="K174" i="9"/>
  <c r="L173" i="16" s="1"/>
  <c r="L173" i="15"/>
  <c r="K242" i="9"/>
  <c r="L241" i="16" s="1"/>
  <c r="L241" i="15"/>
  <c r="K161" i="8"/>
  <c r="M160" i="16" s="1"/>
  <c r="M160" i="15"/>
  <c r="K194" i="8"/>
  <c r="M193" i="16" s="1"/>
  <c r="M193" i="15"/>
  <c r="K52" i="7"/>
  <c r="N51" i="16" s="1"/>
  <c r="N51" i="15"/>
  <c r="K131" i="7"/>
  <c r="N130" i="16" s="1"/>
  <c r="N130" i="15"/>
  <c r="K165" i="7"/>
  <c r="N164" i="16" s="1"/>
  <c r="N164" i="15"/>
  <c r="K202" i="7"/>
  <c r="N201" i="16" s="1"/>
  <c r="N201" i="15"/>
  <c r="K150" i="6"/>
  <c r="O149" i="16" s="1"/>
  <c r="O149" i="15"/>
  <c r="K205" i="6"/>
  <c r="O204" i="16" s="1"/>
  <c r="O204" i="15"/>
  <c r="K53" i="5"/>
  <c r="P52" i="16" s="1"/>
  <c r="P52" i="15"/>
  <c r="K130" i="5"/>
  <c r="P129" i="16" s="1"/>
  <c r="P129" i="15"/>
  <c r="K173" i="5"/>
  <c r="P172" i="16" s="1"/>
  <c r="P172" i="15"/>
  <c r="K188" i="5"/>
  <c r="P187" i="16" s="1"/>
  <c r="P187" i="15"/>
  <c r="K240" i="5"/>
  <c r="P239" i="16" s="1"/>
  <c r="P239" i="15"/>
  <c r="K75" i="4"/>
  <c r="Q74" i="16" s="1"/>
  <c r="Q74" i="15"/>
  <c r="K150" i="4"/>
  <c r="Q149" i="16" s="1"/>
  <c r="Q149" i="15"/>
  <c r="K181" i="4"/>
  <c r="Q180" i="16" s="1"/>
  <c r="Q180" i="15"/>
  <c r="K208" i="4"/>
  <c r="Q207" i="16" s="1"/>
  <c r="Q207" i="15"/>
  <c r="K62" i="2"/>
  <c r="R61" i="15"/>
  <c r="K227" i="3"/>
  <c r="K225" i="16"/>
  <c r="K163" i="15"/>
  <c r="K49" i="9"/>
  <c r="L48" i="16" s="1"/>
  <c r="L48" i="15"/>
  <c r="K58" i="9"/>
  <c r="L57" i="16" s="1"/>
  <c r="L57" i="15"/>
  <c r="K150" i="9"/>
  <c r="L149" i="16" s="1"/>
  <c r="L149" i="15"/>
  <c r="K160" i="9"/>
  <c r="L159" i="16" s="1"/>
  <c r="L159" i="15"/>
  <c r="K169" i="9"/>
  <c r="L168" i="16" s="1"/>
  <c r="L168" i="15"/>
  <c r="K180" i="9"/>
  <c r="L179" i="16" s="1"/>
  <c r="L179" i="15"/>
  <c r="K189" i="9"/>
  <c r="L188" i="16" s="1"/>
  <c r="L188" i="15"/>
  <c r="K202" i="9"/>
  <c r="L201" i="16" s="1"/>
  <c r="L201" i="15"/>
  <c r="K214" i="9"/>
  <c r="L213" i="16" s="1"/>
  <c r="L213" i="15"/>
  <c r="K234" i="9"/>
  <c r="L233" i="16" s="1"/>
  <c r="L233" i="15"/>
  <c r="K52" i="8"/>
  <c r="M51" i="16" s="1"/>
  <c r="M51" i="15"/>
  <c r="J63" i="8"/>
  <c r="K134" i="8"/>
  <c r="M133" i="16" s="1"/>
  <c r="M133" i="15"/>
  <c r="K147" i="8"/>
  <c r="M146" i="16" s="1"/>
  <c r="M146" i="15"/>
  <c r="K156" i="8"/>
  <c r="M155" i="16" s="1"/>
  <c r="M155" i="15"/>
  <c r="K169" i="8"/>
  <c r="M168" i="16" s="1"/>
  <c r="M168" i="15"/>
  <c r="K180" i="8"/>
  <c r="M179" i="16" s="1"/>
  <c r="M179" i="15"/>
  <c r="K189" i="8"/>
  <c r="M188" i="16" s="1"/>
  <c r="M188" i="15"/>
  <c r="K201" i="8"/>
  <c r="M200" i="16" s="1"/>
  <c r="M200" i="15"/>
  <c r="K212" i="8"/>
  <c r="M211" i="16" s="1"/>
  <c r="M211" i="15"/>
  <c r="K226" i="8"/>
  <c r="M225" i="15"/>
  <c r="K57" i="7"/>
  <c r="N56" i="16" s="1"/>
  <c r="N56" i="15"/>
  <c r="K135" i="7"/>
  <c r="N134" i="16" s="1"/>
  <c r="N134" i="15"/>
  <c r="K147" i="7"/>
  <c r="N146" i="16" s="1"/>
  <c r="N146" i="15"/>
  <c r="K158" i="7"/>
  <c r="N157" i="16" s="1"/>
  <c r="N157" i="15"/>
  <c r="K169" i="7"/>
  <c r="N168" i="16" s="1"/>
  <c r="N168" i="15"/>
  <c r="K179" i="7"/>
  <c r="N178" i="16" s="1"/>
  <c r="N178" i="15"/>
  <c r="K187" i="7"/>
  <c r="N186" i="16" s="1"/>
  <c r="N186" i="15"/>
  <c r="K195" i="7"/>
  <c r="N194" i="16" s="1"/>
  <c r="N194" i="15"/>
  <c r="K206" i="7"/>
  <c r="N205" i="16" s="1"/>
  <c r="N205" i="15"/>
  <c r="K218" i="7"/>
  <c r="N217" i="16" s="1"/>
  <c r="N217" i="15"/>
  <c r="K241" i="7"/>
  <c r="N240" i="16" s="1"/>
  <c r="N240" i="15"/>
  <c r="K55" i="6"/>
  <c r="O54" i="16" s="1"/>
  <c r="O54" i="15"/>
  <c r="K75" i="6"/>
  <c r="O74" i="16" s="1"/>
  <c r="O74" i="15"/>
  <c r="K132" i="6"/>
  <c r="O131" i="16" s="1"/>
  <c r="O131" i="15"/>
  <c r="K144" i="6"/>
  <c r="O143" i="16" s="1"/>
  <c r="O143" i="15"/>
  <c r="K155" i="6"/>
  <c r="O154" i="16" s="1"/>
  <c r="O154" i="15"/>
  <c r="K166" i="6"/>
  <c r="O165" i="16" s="1"/>
  <c r="O165" i="15"/>
  <c r="K174" i="6"/>
  <c r="O173" i="16" s="1"/>
  <c r="O173" i="15"/>
  <c r="K184" i="6"/>
  <c r="O183" i="16" s="1"/>
  <c r="O183" i="15"/>
  <c r="K191" i="6"/>
  <c r="O190" i="16" s="1"/>
  <c r="O190" i="15"/>
  <c r="K202" i="6"/>
  <c r="O201" i="16" s="1"/>
  <c r="O201" i="15"/>
  <c r="K212" i="6"/>
  <c r="O211" i="16" s="1"/>
  <c r="O211" i="15"/>
  <c r="K226" i="6"/>
  <c r="O225" i="15"/>
  <c r="K242" i="6"/>
  <c r="O241" i="16" s="1"/>
  <c r="O241" i="15"/>
  <c r="K58" i="5"/>
  <c r="P57" i="16" s="1"/>
  <c r="P57" i="15"/>
  <c r="K134" i="5"/>
  <c r="P133" i="16" s="1"/>
  <c r="P133" i="15"/>
  <c r="K147" i="5"/>
  <c r="P146" i="16" s="1"/>
  <c r="P146" i="15"/>
  <c r="K157" i="5"/>
  <c r="P156" i="16" s="1"/>
  <c r="P156" i="15"/>
  <c r="K169" i="5"/>
  <c r="P168" i="16" s="1"/>
  <c r="P168" i="15"/>
  <c r="K184" i="5"/>
  <c r="P183" i="16" s="1"/>
  <c r="P183" i="15"/>
  <c r="K192" i="5"/>
  <c r="P191" i="16" s="1"/>
  <c r="P191" i="15"/>
  <c r="K202" i="5"/>
  <c r="P201" i="16" s="1"/>
  <c r="P201" i="15"/>
  <c r="K212" i="5"/>
  <c r="P211" i="16" s="1"/>
  <c r="P211" i="15"/>
  <c r="K232" i="5"/>
  <c r="P231" i="16" s="1"/>
  <c r="P231" i="15"/>
  <c r="K50" i="4"/>
  <c r="Q49" i="16" s="1"/>
  <c r="Q49" i="15"/>
  <c r="K68" i="4"/>
  <c r="Q67" i="16" s="1"/>
  <c r="Q67" i="15"/>
  <c r="K132" i="4"/>
  <c r="Q131" i="16" s="1"/>
  <c r="Q131" i="15"/>
  <c r="K145" i="4"/>
  <c r="Q144" i="16" s="1"/>
  <c r="Q144" i="15"/>
  <c r="K156" i="4"/>
  <c r="Q155" i="16" s="1"/>
  <c r="Q155" i="15"/>
  <c r="K167" i="4"/>
  <c r="Q166" i="16" s="1"/>
  <c r="Q166" i="15"/>
  <c r="K176" i="4"/>
  <c r="Q175" i="16" s="1"/>
  <c r="Q175" i="15"/>
  <c r="K185" i="4"/>
  <c r="Q184" i="16" s="1"/>
  <c r="Q184" i="15"/>
  <c r="K193" i="4"/>
  <c r="Q192" i="16" s="1"/>
  <c r="Q192" i="15"/>
  <c r="K204" i="4"/>
  <c r="Q203" i="16" s="1"/>
  <c r="Q203" i="15"/>
  <c r="K217" i="4"/>
  <c r="Q216" i="16" s="1"/>
  <c r="Q216" i="15"/>
  <c r="K241" i="4"/>
  <c r="Q240" i="16" s="1"/>
  <c r="Q240" i="15"/>
  <c r="K55" i="2"/>
  <c r="R54" i="16" s="1"/>
  <c r="R54" i="15"/>
  <c r="K74" i="2"/>
  <c r="R73" i="16" s="1"/>
  <c r="R73" i="15"/>
  <c r="K149" i="2"/>
  <c r="R148" i="16" s="1"/>
  <c r="R148" i="15"/>
  <c r="K156" i="2"/>
  <c r="R155" i="16" s="1"/>
  <c r="R155" i="15"/>
  <c r="K163" i="2"/>
  <c r="R162" i="16" s="1"/>
  <c r="R162" i="15"/>
  <c r="K197" i="2"/>
  <c r="R196" i="16" s="1"/>
  <c r="R196" i="15"/>
  <c r="K233" i="2"/>
  <c r="R232" i="16" s="1"/>
  <c r="R232" i="15"/>
  <c r="K69" i="9"/>
  <c r="L68" i="16" s="1"/>
  <c r="L68" i="15"/>
  <c r="K165" i="9"/>
  <c r="L164" i="16" s="1"/>
  <c r="L164" i="15"/>
  <c r="K56" i="8"/>
  <c r="M55" i="16" s="1"/>
  <c r="M55" i="15"/>
  <c r="K184" i="8"/>
  <c r="M183" i="16" s="1"/>
  <c r="M183" i="15"/>
  <c r="K153" i="7"/>
  <c r="N152" i="16" s="1"/>
  <c r="N152" i="15"/>
  <c r="K160" i="6"/>
  <c r="O159" i="16" s="1"/>
  <c r="O159" i="15"/>
  <c r="K54" i="3"/>
  <c r="K53" i="16" s="1"/>
  <c r="K240" i="15"/>
  <c r="K50" i="9"/>
  <c r="L49" i="16" s="1"/>
  <c r="L49" i="15"/>
  <c r="K68" i="9"/>
  <c r="L67" i="16" s="1"/>
  <c r="L67" i="15"/>
  <c r="K142" i="9"/>
  <c r="L141" i="16" s="1"/>
  <c r="L141" i="15"/>
  <c r="K152" i="9"/>
  <c r="L151" i="16" s="1"/>
  <c r="L151" i="15"/>
  <c r="K161" i="9"/>
  <c r="L160" i="16" s="1"/>
  <c r="L160" i="15"/>
  <c r="K170" i="9"/>
  <c r="L169" i="16" s="1"/>
  <c r="L169" i="15"/>
  <c r="K181" i="9"/>
  <c r="L180" i="16" s="1"/>
  <c r="L180" i="15"/>
  <c r="K192" i="9"/>
  <c r="L191" i="16" s="1"/>
  <c r="L191" i="15"/>
  <c r="K203" i="9"/>
  <c r="L202" i="16" s="1"/>
  <c r="L202" i="15"/>
  <c r="K216" i="9"/>
  <c r="L215" i="16" s="1"/>
  <c r="L215" i="15"/>
  <c r="K239" i="9"/>
  <c r="L238" i="15"/>
  <c r="K53" i="8"/>
  <c r="M52" i="16" s="1"/>
  <c r="M52" i="15"/>
  <c r="K68" i="8"/>
  <c r="M67" i="16" s="1"/>
  <c r="M67" i="15"/>
  <c r="K135" i="8"/>
  <c r="M134" i="16" s="1"/>
  <c r="M134" i="15"/>
  <c r="K148" i="8"/>
  <c r="M147" i="16" s="1"/>
  <c r="M147" i="15"/>
  <c r="K157" i="8"/>
  <c r="M156" i="16" s="1"/>
  <c r="M156" i="15"/>
  <c r="K170" i="8"/>
  <c r="M169" i="16" s="1"/>
  <c r="M169" i="15"/>
  <c r="K181" i="8"/>
  <c r="M180" i="16" s="1"/>
  <c r="M180" i="15"/>
  <c r="K190" i="8"/>
  <c r="M189" i="16" s="1"/>
  <c r="M189" i="15"/>
  <c r="K202" i="8"/>
  <c r="M201" i="16" s="1"/>
  <c r="M201" i="15"/>
  <c r="K213" i="8"/>
  <c r="M212" i="16" s="1"/>
  <c r="M212" i="15"/>
  <c r="K232" i="8"/>
  <c r="M231" i="16" s="1"/>
  <c r="M231" i="15"/>
  <c r="K49" i="7"/>
  <c r="N48" i="16" s="1"/>
  <c r="N48" i="15"/>
  <c r="K62" i="7"/>
  <c r="N61" i="15"/>
  <c r="K139" i="7"/>
  <c r="N138" i="16" s="1"/>
  <c r="N138" i="15"/>
  <c r="K149" i="7"/>
  <c r="N148" i="16" s="1"/>
  <c r="N148" i="15"/>
  <c r="K159" i="7"/>
  <c r="N158" i="16" s="1"/>
  <c r="N158" i="15"/>
  <c r="K170" i="7"/>
  <c r="N169" i="16" s="1"/>
  <c r="N169" i="15"/>
  <c r="K180" i="7"/>
  <c r="N179" i="16" s="1"/>
  <c r="N179" i="15"/>
  <c r="K188" i="7"/>
  <c r="N187" i="16" s="1"/>
  <c r="N187" i="15"/>
  <c r="K196" i="7"/>
  <c r="N195" i="16" s="1"/>
  <c r="N195" i="15"/>
  <c r="K207" i="7"/>
  <c r="N206" i="16" s="1"/>
  <c r="N206" i="15"/>
  <c r="K222" i="7"/>
  <c r="N221" i="15"/>
  <c r="K242" i="7"/>
  <c r="N241" i="16" s="1"/>
  <c r="N241" i="15"/>
  <c r="K56" i="6"/>
  <c r="O55" i="16" s="1"/>
  <c r="O55" i="15"/>
  <c r="K76" i="6"/>
  <c r="O75" i="16" s="1"/>
  <c r="O75" i="15"/>
  <c r="K133" i="6"/>
  <c r="O132" i="16" s="1"/>
  <c r="O132" i="15"/>
  <c r="K145" i="6"/>
  <c r="O144" i="16" s="1"/>
  <c r="O144" i="15"/>
  <c r="K156" i="6"/>
  <c r="O155" i="16" s="1"/>
  <c r="O155" i="15"/>
  <c r="K167" i="6"/>
  <c r="O166" i="16" s="1"/>
  <c r="O166" i="15"/>
  <c r="K176" i="6"/>
  <c r="O175" i="16" s="1"/>
  <c r="O175" i="15"/>
  <c r="K185" i="6"/>
  <c r="O184" i="16" s="1"/>
  <c r="O184" i="15"/>
  <c r="K192" i="6"/>
  <c r="O191" i="16" s="1"/>
  <c r="O191" i="15"/>
  <c r="J235" i="6"/>
  <c r="O234" i="15" s="1"/>
  <c r="O231" i="15"/>
  <c r="K49" i="5"/>
  <c r="P48" i="16" s="1"/>
  <c r="P48" i="15"/>
  <c r="K68" i="5"/>
  <c r="P67" i="16" s="1"/>
  <c r="P67" i="15"/>
  <c r="K149" i="5"/>
  <c r="P148" i="16" s="1"/>
  <c r="P148" i="15"/>
  <c r="K158" i="5"/>
  <c r="P157" i="16" s="1"/>
  <c r="P157" i="15"/>
  <c r="K170" i="5"/>
  <c r="P169" i="16" s="1"/>
  <c r="P169" i="15"/>
  <c r="K177" i="5"/>
  <c r="P176" i="16" s="1"/>
  <c r="P176" i="15"/>
  <c r="K185" i="5"/>
  <c r="P184" i="16" s="1"/>
  <c r="P184" i="15"/>
  <c r="K193" i="5"/>
  <c r="P192" i="16" s="1"/>
  <c r="P192" i="15"/>
  <c r="K203" i="5"/>
  <c r="P202" i="16" s="1"/>
  <c r="P202" i="15"/>
  <c r="K213" i="5"/>
  <c r="P212" i="16" s="1"/>
  <c r="P212" i="15"/>
  <c r="K233" i="5"/>
  <c r="P232" i="16" s="1"/>
  <c r="P232" i="15"/>
  <c r="K51" i="4"/>
  <c r="Q50" i="16" s="1"/>
  <c r="Q50" i="15"/>
  <c r="K69" i="4"/>
  <c r="Q68" i="16" s="1"/>
  <c r="Q68" i="15"/>
  <c r="K133" i="4"/>
  <c r="Q132" i="16" s="1"/>
  <c r="Q132" i="15"/>
  <c r="K146" i="4"/>
  <c r="Q145" i="16" s="1"/>
  <c r="Q145" i="15"/>
  <c r="K157" i="4"/>
  <c r="Q156" i="16" s="1"/>
  <c r="Q156" i="15"/>
  <c r="K168" i="4"/>
  <c r="Q167" i="16" s="1"/>
  <c r="Q167" i="15"/>
  <c r="K177" i="4"/>
  <c r="Q176" i="16" s="1"/>
  <c r="Q176" i="15"/>
  <c r="K186" i="4"/>
  <c r="Q185" i="16" s="1"/>
  <c r="Q185" i="15"/>
  <c r="K194" i="4"/>
  <c r="Q193" i="16" s="1"/>
  <c r="Q193" i="15"/>
  <c r="K205" i="4"/>
  <c r="Q204" i="16" s="1"/>
  <c r="Q204" i="15"/>
  <c r="K218" i="4"/>
  <c r="Q217" i="16" s="1"/>
  <c r="Q217" i="15"/>
  <c r="K242" i="4"/>
  <c r="Q241" i="16" s="1"/>
  <c r="Q241" i="15"/>
  <c r="K56" i="2"/>
  <c r="R55" i="16" s="1"/>
  <c r="R55" i="15"/>
  <c r="K75" i="2"/>
  <c r="R74" i="16" s="1"/>
  <c r="R74" i="15"/>
  <c r="K133" i="2"/>
  <c r="R132" i="16" s="1"/>
  <c r="R132" i="15"/>
  <c r="K143" i="2"/>
  <c r="R142" i="16" s="1"/>
  <c r="R142" i="15"/>
  <c r="K150" i="2"/>
  <c r="R149" i="16" s="1"/>
  <c r="R149" i="15"/>
  <c r="K157" i="2"/>
  <c r="R156" i="16" s="1"/>
  <c r="R156" i="15"/>
  <c r="K164" i="2"/>
  <c r="R163" i="16" s="1"/>
  <c r="R163" i="15"/>
  <c r="K170" i="2"/>
  <c r="R169" i="16" s="1"/>
  <c r="K177" i="2"/>
  <c r="R176" i="16" s="1"/>
  <c r="R176" i="15"/>
  <c r="K184" i="2"/>
  <c r="R183" i="16" s="1"/>
  <c r="K190" i="2"/>
  <c r="R189" i="16" s="1"/>
  <c r="K206" i="2"/>
  <c r="R205" i="16" s="1"/>
  <c r="R205" i="15"/>
  <c r="K216" i="2"/>
  <c r="R215" i="16" s="1"/>
  <c r="R215" i="15"/>
  <c r="K234" i="2"/>
  <c r="R233" i="16" s="1"/>
  <c r="R233" i="15"/>
  <c r="K191" i="8"/>
  <c r="M190" i="16" s="1"/>
  <c r="M190" i="15"/>
  <c r="K144" i="2"/>
  <c r="R143" i="16" s="1"/>
  <c r="R143" i="15"/>
  <c r="K151" i="2"/>
  <c r="R150" i="16" s="1"/>
  <c r="R150" i="15"/>
  <c r="K165" i="2"/>
  <c r="R164" i="16" s="1"/>
  <c r="R164" i="15"/>
  <c r="K171" i="2"/>
  <c r="R170" i="16" s="1"/>
  <c r="R170" i="15"/>
  <c r="K178" i="2"/>
  <c r="R177" i="16" s="1"/>
  <c r="R177" i="15"/>
  <c r="K185" i="2"/>
  <c r="R184" i="16" s="1"/>
  <c r="R184" i="15"/>
  <c r="K191" i="2"/>
  <c r="R190" i="16" s="1"/>
  <c r="R190" i="15"/>
  <c r="K201" i="2"/>
  <c r="R200" i="16" s="1"/>
  <c r="K207" i="2"/>
  <c r="R206" i="16" s="1"/>
  <c r="R206" i="15"/>
  <c r="K217" i="2"/>
  <c r="R216" i="16" s="1"/>
  <c r="R216" i="15"/>
  <c r="K239" i="2"/>
  <c r="R238" i="16" s="1"/>
  <c r="R238" i="15"/>
  <c r="J46" i="9"/>
  <c r="L45" i="15" s="1"/>
  <c r="K116" i="15"/>
  <c r="K100" i="15"/>
  <c r="K92" i="15"/>
  <c r="K84" i="15"/>
  <c r="I84" i="15" s="1"/>
  <c r="K99" i="15"/>
  <c r="K91" i="15"/>
  <c r="K98" i="15"/>
  <c r="K90" i="15"/>
  <c r="K97" i="15"/>
  <c r="K89" i="15"/>
  <c r="K120" i="15"/>
  <c r="K104" i="15"/>
  <c r="K96" i="15"/>
  <c r="K88" i="15"/>
  <c r="K103" i="15"/>
  <c r="K95" i="15"/>
  <c r="K87" i="15"/>
  <c r="K101" i="15"/>
  <c r="K93" i="15"/>
  <c r="K212" i="15"/>
  <c r="K204" i="15"/>
  <c r="K196" i="15"/>
  <c r="K188" i="15"/>
  <c r="K180" i="15"/>
  <c r="K172" i="15"/>
  <c r="K164" i="15"/>
  <c r="K148" i="15"/>
  <c r="K140" i="15"/>
  <c r="K132" i="15"/>
  <c r="K67" i="15"/>
  <c r="K50" i="15"/>
  <c r="J227" i="5"/>
  <c r="K195" i="15"/>
  <c r="K187" i="15"/>
  <c r="K155" i="15"/>
  <c r="K147" i="15"/>
  <c r="K139" i="15"/>
  <c r="K74" i="15"/>
  <c r="K57" i="15"/>
  <c r="K49" i="15"/>
  <c r="K202" i="15"/>
  <c r="K194" i="15"/>
  <c r="K170" i="15"/>
  <c r="K162" i="15"/>
  <c r="K73" i="15"/>
  <c r="K56" i="15"/>
  <c r="K48" i="15"/>
  <c r="J209" i="6"/>
  <c r="K225" i="15"/>
  <c r="K217" i="15"/>
  <c r="K201" i="15"/>
  <c r="K193" i="15"/>
  <c r="K185" i="15"/>
  <c r="K169" i="15"/>
  <c r="K161" i="15"/>
  <c r="K153" i="15"/>
  <c r="K129" i="15"/>
  <c r="K72" i="15"/>
  <c r="J235" i="7"/>
  <c r="N234" i="15" s="1"/>
  <c r="J235" i="5"/>
  <c r="P234" i="15" s="1"/>
  <c r="K241" i="15"/>
  <c r="K233" i="15"/>
  <c r="K216" i="15"/>
  <c r="K200" i="15"/>
  <c r="K192" i="15"/>
  <c r="K176" i="15"/>
  <c r="K168" i="15"/>
  <c r="K160" i="15"/>
  <c r="K152" i="15"/>
  <c r="K144" i="15"/>
  <c r="K54" i="15"/>
  <c r="J227" i="6"/>
  <c r="K215" i="15"/>
  <c r="K207" i="15"/>
  <c r="K191" i="15"/>
  <c r="K183" i="15"/>
  <c r="I183" i="15" s="1"/>
  <c r="K175" i="15"/>
  <c r="K167" i="15"/>
  <c r="K159" i="15"/>
  <c r="K151" i="15"/>
  <c r="K143" i="15"/>
  <c r="J77" i="2"/>
  <c r="K222" i="15"/>
  <c r="K214" i="15"/>
  <c r="K206" i="15"/>
  <c r="K158" i="15"/>
  <c r="K142" i="15"/>
  <c r="K134" i="15"/>
  <c r="K52" i="15"/>
  <c r="K222" i="5"/>
  <c r="K238" i="15"/>
  <c r="K221" i="15"/>
  <c r="K189" i="15"/>
  <c r="K181" i="15"/>
  <c r="K165" i="15"/>
  <c r="K157" i="15"/>
  <c r="K149" i="15"/>
  <c r="K133" i="15"/>
  <c r="K68" i="15"/>
  <c r="K51" i="15"/>
  <c r="K222" i="2"/>
  <c r="J46" i="5"/>
  <c r="J46" i="7"/>
  <c r="K46" i="4"/>
  <c r="K46" i="6"/>
  <c r="J198" i="2"/>
  <c r="J59" i="2"/>
  <c r="K73" i="2"/>
  <c r="J136" i="2"/>
  <c r="K139" i="2"/>
  <c r="R138" i="16" s="1"/>
  <c r="J219" i="2"/>
  <c r="J46" i="2"/>
  <c r="R45" i="15" s="1"/>
  <c r="K215" i="2"/>
  <c r="R214" i="16" s="1"/>
  <c r="K46" i="2"/>
  <c r="J63" i="2"/>
  <c r="J227" i="2"/>
  <c r="J112" i="2"/>
  <c r="R111" i="15" s="1"/>
  <c r="J107" i="2"/>
  <c r="R106" i="15" s="1"/>
  <c r="J209" i="2"/>
  <c r="J235" i="2"/>
  <c r="R234" i="15" s="1"/>
  <c r="J107" i="8"/>
  <c r="M106" i="15" s="1"/>
  <c r="J235" i="8"/>
  <c r="J136" i="8"/>
  <c r="N136" i="8" s="1"/>
  <c r="K46" i="7"/>
  <c r="J63" i="7"/>
  <c r="J112" i="7"/>
  <c r="N111" i="15" s="1"/>
  <c r="J112" i="6"/>
  <c r="O111" i="15" s="1"/>
  <c r="K232" i="6"/>
  <c r="J46" i="6"/>
  <c r="K201" i="6"/>
  <c r="O200" i="16" s="1"/>
  <c r="J59" i="6"/>
  <c r="J136" i="6"/>
  <c r="J112" i="5"/>
  <c r="P111" i="15" s="1"/>
  <c r="K110" i="5"/>
  <c r="P109" i="16" s="1"/>
  <c r="J209" i="5"/>
  <c r="J235" i="4"/>
  <c r="Q234" i="15" s="1"/>
  <c r="J46" i="4"/>
  <c r="J209" i="4"/>
  <c r="J227" i="4"/>
  <c r="K85" i="4"/>
  <c r="Q84" i="16" s="1"/>
  <c r="K139" i="4"/>
  <c r="Q138" i="16" s="1"/>
  <c r="K201" i="4"/>
  <c r="K234" i="4"/>
  <c r="J112" i="4"/>
  <c r="Q111" i="15" s="1"/>
  <c r="K130" i="4"/>
  <c r="Q129" i="16" s="1"/>
  <c r="K222" i="4"/>
  <c r="J77" i="4"/>
  <c r="K85" i="5"/>
  <c r="P84" i="16" s="1"/>
  <c r="K139" i="5"/>
  <c r="P138" i="16" s="1"/>
  <c r="K205" i="5"/>
  <c r="K234" i="5"/>
  <c r="K51" i="6"/>
  <c r="K130" i="6"/>
  <c r="K222" i="6"/>
  <c r="J77" i="6"/>
  <c r="J136" i="7"/>
  <c r="K140" i="7"/>
  <c r="N139" i="16" s="1"/>
  <c r="K226" i="7"/>
  <c r="J209" i="7"/>
  <c r="K85" i="7"/>
  <c r="N84" i="16" s="1"/>
  <c r="J223" i="7"/>
  <c r="K11" i="8"/>
  <c r="M10" i="16" s="1"/>
  <c r="J11" i="8"/>
  <c r="M10" i="15" s="1"/>
  <c r="J209" i="8"/>
  <c r="N209" i="8" s="1"/>
  <c r="J219" i="8"/>
  <c r="N219" i="8" s="1"/>
  <c r="J227" i="8"/>
  <c r="K85" i="8"/>
  <c r="J112" i="8"/>
  <c r="M111" i="15" s="1"/>
  <c r="J59" i="8"/>
  <c r="J223" i="8"/>
  <c r="N223" i="8" s="1"/>
  <c r="K130" i="8"/>
  <c r="K140" i="8"/>
  <c r="M139" i="16" s="1"/>
  <c r="J235" i="9"/>
  <c r="J136" i="9"/>
  <c r="N136" i="9" s="1"/>
  <c r="K46" i="9"/>
  <c r="L45" i="16" s="1"/>
  <c r="J11" i="9"/>
  <c r="L10" i="15" s="1"/>
  <c r="J227" i="9"/>
  <c r="K85" i="9"/>
  <c r="L84" i="16" s="1"/>
  <c r="J112" i="9"/>
  <c r="L111" i="15" s="1"/>
  <c r="J223" i="9"/>
  <c r="N223" i="9" s="1"/>
  <c r="K130" i="9"/>
  <c r="K140" i="9"/>
  <c r="L139" i="16" s="1"/>
  <c r="J77" i="9"/>
  <c r="K45" i="15"/>
  <c r="K109" i="16"/>
  <c r="K111" i="3"/>
  <c r="K110" i="16" s="1"/>
  <c r="K111" i="15"/>
  <c r="K139" i="3"/>
  <c r="K138" i="16" s="1"/>
  <c r="K187" i="3"/>
  <c r="K186" i="16" s="1"/>
  <c r="K132" i="3"/>
  <c r="K131" i="16" s="1"/>
  <c r="K179" i="3"/>
  <c r="K178" i="16" s="1"/>
  <c r="K167" i="3"/>
  <c r="K166" i="16" s="1"/>
  <c r="K62" i="15"/>
  <c r="K62" i="3"/>
  <c r="K61" i="16" s="1"/>
  <c r="K235" i="3"/>
  <c r="K234" i="16" s="1"/>
  <c r="K234" i="15"/>
  <c r="K226" i="15"/>
  <c r="K222" i="3"/>
  <c r="K221" i="16" s="1"/>
  <c r="K46" i="3"/>
  <c r="K45" i="16" s="1"/>
  <c r="K112" i="9" l="1"/>
  <c r="L111" i="16" s="1"/>
  <c r="M238" i="16"/>
  <c r="I238" i="16" s="1"/>
  <c r="K243" i="8"/>
  <c r="M226" i="15"/>
  <c r="N227" i="8"/>
  <c r="I73" i="15"/>
  <c r="I138" i="15"/>
  <c r="M234" i="15"/>
  <c r="N235" i="8"/>
  <c r="I48" i="15"/>
  <c r="L238" i="16"/>
  <c r="K243" i="9"/>
  <c r="L234" i="15"/>
  <c r="N235" i="9"/>
  <c r="L226" i="15"/>
  <c r="N227" i="9"/>
  <c r="I202" i="15"/>
  <c r="I193" i="15"/>
  <c r="I206" i="15"/>
  <c r="I207" i="15"/>
  <c r="I151" i="15"/>
  <c r="I216" i="16"/>
  <c r="I132" i="16"/>
  <c r="I240" i="16"/>
  <c r="K11" i="2"/>
  <c r="R10" i="16" s="1"/>
  <c r="R45" i="16"/>
  <c r="K11" i="5"/>
  <c r="P10" i="16" s="1"/>
  <c r="J11" i="4"/>
  <c r="Q10" i="15" s="1"/>
  <c r="Q45" i="15"/>
  <c r="J11" i="6"/>
  <c r="O10" i="15" s="1"/>
  <c r="O45" i="15"/>
  <c r="J11" i="7"/>
  <c r="N10" i="15" s="1"/>
  <c r="N45" i="15"/>
  <c r="J11" i="5"/>
  <c r="P10" i="15" s="1"/>
  <c r="P45" i="15"/>
  <c r="K11" i="4"/>
  <c r="Q10" i="16" s="1"/>
  <c r="Q45" i="16"/>
  <c r="K11" i="6"/>
  <c r="O10" i="16" s="1"/>
  <c r="O45" i="16"/>
  <c r="K11" i="7"/>
  <c r="N10" i="16" s="1"/>
  <c r="N45" i="16"/>
  <c r="K209" i="6"/>
  <c r="K26" i="6" s="1"/>
  <c r="O25" i="16" s="1"/>
  <c r="K112" i="7"/>
  <c r="N111" i="16" s="1"/>
  <c r="K112" i="2"/>
  <c r="R111" i="16" s="1"/>
  <c r="I97" i="15"/>
  <c r="I118" i="15"/>
  <c r="I86" i="15"/>
  <c r="I241" i="15"/>
  <c r="I132" i="15"/>
  <c r="K77" i="6"/>
  <c r="K18" i="6" s="1"/>
  <c r="I238" i="15"/>
  <c r="I168" i="15"/>
  <c r="K235" i="7"/>
  <c r="N234" i="16" s="1"/>
  <c r="K235" i="2"/>
  <c r="R234" i="16" s="1"/>
  <c r="I149" i="15"/>
  <c r="I95" i="15"/>
  <c r="I99" i="16"/>
  <c r="I97" i="16"/>
  <c r="I109" i="15"/>
  <c r="I92" i="15"/>
  <c r="I93" i="16"/>
  <c r="I101" i="16"/>
  <c r="I110" i="15"/>
  <c r="I101" i="15"/>
  <c r="K112" i="5"/>
  <c r="P111" i="16" s="1"/>
  <c r="K107" i="2"/>
  <c r="R106" i="16" s="1"/>
  <c r="I87" i="15"/>
  <c r="I116" i="15"/>
  <c r="I131" i="16"/>
  <c r="I152" i="15"/>
  <c r="I185" i="15"/>
  <c r="I139" i="15"/>
  <c r="I204" i="15"/>
  <c r="I215" i="16"/>
  <c r="I231" i="15"/>
  <c r="I131" i="15"/>
  <c r="I149" i="16"/>
  <c r="I186" i="15"/>
  <c r="I232" i="15"/>
  <c r="I191" i="16"/>
  <c r="I49" i="16"/>
  <c r="I151" i="16"/>
  <c r="I217" i="16"/>
  <c r="I234" i="15"/>
  <c r="K198" i="2"/>
  <c r="K25" i="2" s="1"/>
  <c r="R24" i="16" s="1"/>
  <c r="J28" i="6"/>
  <c r="O27" i="15" s="1"/>
  <c r="I180" i="16"/>
  <c r="K136" i="7"/>
  <c r="K24" i="7" s="1"/>
  <c r="N23" i="16" s="1"/>
  <c r="K209" i="2"/>
  <c r="R208" i="16" s="1"/>
  <c r="I157" i="16"/>
  <c r="I133" i="16"/>
  <c r="I241" i="16"/>
  <c r="I195" i="16"/>
  <c r="I139" i="16"/>
  <c r="K219" i="8"/>
  <c r="M218" i="16" s="1"/>
  <c r="I50" i="15"/>
  <c r="I211" i="15"/>
  <c r="I201" i="16"/>
  <c r="I203" i="15"/>
  <c r="I179" i="16"/>
  <c r="I100" i="16"/>
  <c r="I100" i="15"/>
  <c r="I88" i="16"/>
  <c r="I116" i="16"/>
  <c r="I92" i="16"/>
  <c r="I103" i="15"/>
  <c r="I98" i="15"/>
  <c r="I96" i="16"/>
  <c r="I104" i="16"/>
  <c r="I88" i="15"/>
  <c r="I91" i="15"/>
  <c r="I110" i="16"/>
  <c r="I91" i="16"/>
  <c r="I103" i="16"/>
  <c r="I90" i="15"/>
  <c r="K107" i="8"/>
  <c r="M106" i="16" s="1"/>
  <c r="M84" i="16"/>
  <c r="I84" i="16" s="1"/>
  <c r="I96" i="15"/>
  <c r="I99" i="15"/>
  <c r="I90" i="16"/>
  <c r="K112" i="4"/>
  <c r="Q111" i="16" s="1"/>
  <c r="K112" i="6"/>
  <c r="O111" i="16" s="1"/>
  <c r="I104" i="15"/>
  <c r="I95" i="16"/>
  <c r="I87" i="16"/>
  <c r="K112" i="8"/>
  <c r="M111" i="16" s="1"/>
  <c r="M109" i="16"/>
  <c r="I109" i="16" s="1"/>
  <c r="I111" i="15"/>
  <c r="I93" i="15"/>
  <c r="I86" i="16"/>
  <c r="I98" i="16"/>
  <c r="I118" i="16"/>
  <c r="J28" i="9"/>
  <c r="L27" i="15" s="1"/>
  <c r="L222" i="15"/>
  <c r="I221" i="15"/>
  <c r="J24" i="2"/>
  <c r="R23" i="15" s="1"/>
  <c r="R135" i="15"/>
  <c r="J29" i="2"/>
  <c r="R28" i="15" s="1"/>
  <c r="R226" i="15"/>
  <c r="J24" i="9"/>
  <c r="L23" i="15" s="1"/>
  <c r="L135" i="15"/>
  <c r="J28" i="7"/>
  <c r="N27" i="15" s="1"/>
  <c r="N222" i="15"/>
  <c r="K209" i="8"/>
  <c r="J13" i="2"/>
  <c r="R12" i="15" s="1"/>
  <c r="R62" i="15"/>
  <c r="I68" i="15"/>
  <c r="I201" i="15"/>
  <c r="I170" i="15"/>
  <c r="I155" i="15"/>
  <c r="I148" i="15"/>
  <c r="I143" i="16"/>
  <c r="J13" i="8"/>
  <c r="M12" i="15" s="1"/>
  <c r="M62" i="15"/>
  <c r="K63" i="2"/>
  <c r="R61" i="16"/>
  <c r="I188" i="16"/>
  <c r="K223" i="8"/>
  <c r="M221" i="16"/>
  <c r="I211" i="16"/>
  <c r="I185" i="16"/>
  <c r="I144" i="16"/>
  <c r="K227" i="4"/>
  <c r="Q225" i="16"/>
  <c r="N226" i="15"/>
  <c r="J29" i="7"/>
  <c r="N28" i="15" s="1"/>
  <c r="K27" i="8"/>
  <c r="M26" i="16" s="1"/>
  <c r="I212" i="15"/>
  <c r="J18" i="4"/>
  <c r="Q76" i="15"/>
  <c r="K235" i="6"/>
  <c r="O234" i="16" s="1"/>
  <c r="O231" i="16"/>
  <c r="I231" i="16" s="1"/>
  <c r="K136" i="2"/>
  <c r="J12" i="2"/>
  <c r="R11" i="15" s="1"/>
  <c r="R58" i="15"/>
  <c r="I191" i="15"/>
  <c r="J27" i="8"/>
  <c r="M26" i="15" s="1"/>
  <c r="M218" i="15"/>
  <c r="K209" i="7"/>
  <c r="K235" i="5"/>
  <c r="P234" i="16" s="1"/>
  <c r="P233" i="16"/>
  <c r="K223" i="4"/>
  <c r="Q221" i="16"/>
  <c r="J25" i="2"/>
  <c r="R24" i="15" s="1"/>
  <c r="R197" i="15"/>
  <c r="I133" i="15"/>
  <c r="K223" i="5"/>
  <c r="P221" i="16"/>
  <c r="J18" i="2"/>
  <c r="R17" i="15" s="1"/>
  <c r="R76" i="15"/>
  <c r="I72" i="15"/>
  <c r="I217" i="15"/>
  <c r="I194" i="15"/>
  <c r="I164" i="15"/>
  <c r="I206" i="16"/>
  <c r="K223" i="7"/>
  <c r="N221" i="16"/>
  <c r="K227" i="6"/>
  <c r="O225" i="16"/>
  <c r="K29" i="3"/>
  <c r="K28" i="16" s="1"/>
  <c r="K226" i="16"/>
  <c r="I179" i="15"/>
  <c r="I194" i="16"/>
  <c r="K223" i="2"/>
  <c r="R221" i="16"/>
  <c r="J28" i="4"/>
  <c r="Q27" i="15" s="1"/>
  <c r="Q222" i="15"/>
  <c r="O76" i="16"/>
  <c r="I203" i="16"/>
  <c r="I172" i="16"/>
  <c r="J26" i="8"/>
  <c r="M25" i="15" s="1"/>
  <c r="M208" i="15"/>
  <c r="J26" i="7"/>
  <c r="N25" i="15" s="1"/>
  <c r="N208" i="15"/>
  <c r="J18" i="6"/>
  <c r="O76" i="15"/>
  <c r="K209" i="5"/>
  <c r="P204" i="16"/>
  <c r="I204" i="16" s="1"/>
  <c r="K77" i="4"/>
  <c r="K219" i="2"/>
  <c r="I52" i="15"/>
  <c r="I143" i="15"/>
  <c r="I215" i="15"/>
  <c r="I129" i="15"/>
  <c r="I225" i="15"/>
  <c r="I195" i="15"/>
  <c r="I172" i="15"/>
  <c r="I170" i="16"/>
  <c r="I183" i="16"/>
  <c r="I240" i="15"/>
  <c r="I232" i="16"/>
  <c r="I155" i="16"/>
  <c r="K63" i="8"/>
  <c r="M61" i="16"/>
  <c r="I160" i="16"/>
  <c r="I202" i="16"/>
  <c r="J26" i="5"/>
  <c r="P25" i="15" s="1"/>
  <c r="P208" i="15"/>
  <c r="K77" i="2"/>
  <c r="R72" i="16"/>
  <c r="I72" i="16" s="1"/>
  <c r="J28" i="2"/>
  <c r="R27" i="15" s="1"/>
  <c r="R222" i="15"/>
  <c r="J18" i="9"/>
  <c r="L76" i="15"/>
  <c r="K77" i="9"/>
  <c r="K136" i="8"/>
  <c r="M129" i="16"/>
  <c r="K59" i="8"/>
  <c r="K227" i="7"/>
  <c r="N226" i="16" s="1"/>
  <c r="N225" i="16"/>
  <c r="K223" i="6"/>
  <c r="O221" i="16"/>
  <c r="J29" i="4"/>
  <c r="Q28" i="15" s="1"/>
  <c r="Q226" i="15"/>
  <c r="J24" i="6"/>
  <c r="O23" i="15" s="1"/>
  <c r="O135" i="15"/>
  <c r="J13" i="7"/>
  <c r="N12" i="15" s="1"/>
  <c r="N62" i="15"/>
  <c r="J26" i="2"/>
  <c r="R25" i="15" s="1"/>
  <c r="R208" i="15"/>
  <c r="J65" i="2"/>
  <c r="R64" i="15" s="1"/>
  <c r="I157" i="15"/>
  <c r="J29" i="6"/>
  <c r="O28" i="15" s="1"/>
  <c r="O226" i="15"/>
  <c r="I200" i="15"/>
  <c r="J26" i="6"/>
  <c r="O25" i="15" s="1"/>
  <c r="O208" i="15"/>
  <c r="I49" i="15"/>
  <c r="J29" i="5"/>
  <c r="P28" i="15" s="1"/>
  <c r="P226" i="15"/>
  <c r="I180" i="15"/>
  <c r="K63" i="7"/>
  <c r="N61" i="16"/>
  <c r="K227" i="2"/>
  <c r="R225" i="16"/>
  <c r="I68" i="16"/>
  <c r="J28" i="5"/>
  <c r="P27" i="15" s="1"/>
  <c r="P222" i="15"/>
  <c r="I159" i="16"/>
  <c r="I67" i="16"/>
  <c r="I73" i="16"/>
  <c r="K227" i="8"/>
  <c r="M225" i="16"/>
  <c r="K235" i="9"/>
  <c r="L234" i="16" s="1"/>
  <c r="J12" i="6"/>
  <c r="O11" i="15" s="1"/>
  <c r="O58" i="15"/>
  <c r="I159" i="15"/>
  <c r="I216" i="15"/>
  <c r="I188" i="15"/>
  <c r="I164" i="16"/>
  <c r="I148" i="16"/>
  <c r="I168" i="16"/>
  <c r="K227" i="5"/>
  <c r="P225" i="16"/>
  <c r="I186" i="16"/>
  <c r="I193" i="16"/>
  <c r="K227" i="9"/>
  <c r="L225" i="16"/>
  <c r="I207" i="16"/>
  <c r="I48" i="16"/>
  <c r="J24" i="7"/>
  <c r="N23" i="15" s="1"/>
  <c r="N135" i="15"/>
  <c r="I160" i="15"/>
  <c r="J28" i="8"/>
  <c r="M27" i="15" s="1"/>
  <c r="M222" i="15"/>
  <c r="K136" i="6"/>
  <c r="O129" i="16"/>
  <c r="K235" i="4"/>
  <c r="Q234" i="16" s="1"/>
  <c r="Q233" i="16"/>
  <c r="J26" i="4"/>
  <c r="Q25" i="15" s="1"/>
  <c r="Q208" i="15"/>
  <c r="J27" i="2"/>
  <c r="R26" i="15" s="1"/>
  <c r="R218" i="15"/>
  <c r="K136" i="9"/>
  <c r="L129" i="16"/>
  <c r="J12" i="8"/>
  <c r="M11" i="15" s="1"/>
  <c r="M58" i="15"/>
  <c r="K235" i="8"/>
  <c r="M234" i="16" s="1"/>
  <c r="K59" i="6"/>
  <c r="O58" i="16" s="1"/>
  <c r="O50" i="16"/>
  <c r="I50" i="16" s="1"/>
  <c r="K209" i="4"/>
  <c r="Q200" i="16"/>
  <c r="I200" i="16" s="1"/>
  <c r="J24" i="8"/>
  <c r="M23" i="15" s="1"/>
  <c r="M135" i="15"/>
  <c r="K59" i="2"/>
  <c r="I138" i="16"/>
  <c r="I144" i="15"/>
  <c r="I233" i="15"/>
  <c r="I169" i="15"/>
  <c r="I67" i="15"/>
  <c r="I196" i="15"/>
  <c r="I169" i="16"/>
  <c r="I196" i="16"/>
  <c r="I212" i="16"/>
  <c r="I52" i="16"/>
  <c r="I152" i="16"/>
  <c r="K223" i="9"/>
  <c r="L221" i="16"/>
  <c r="K10" i="15"/>
  <c r="J11" i="2"/>
  <c r="R10" i="15" s="1"/>
  <c r="J65" i="8"/>
  <c r="M64" i="15" s="1"/>
  <c r="J29" i="8"/>
  <c r="M28" i="15" s="1"/>
  <c r="K11" i="9"/>
  <c r="L10" i="16" s="1"/>
  <c r="J29" i="9"/>
  <c r="L28" i="15" s="1"/>
  <c r="K112" i="3"/>
  <c r="K111" i="16" s="1"/>
  <c r="K28" i="15"/>
  <c r="K12" i="15"/>
  <c r="K63" i="3"/>
  <c r="K62" i="16" s="1"/>
  <c r="K223" i="3"/>
  <c r="K222" i="16" s="1"/>
  <c r="K11" i="3"/>
  <c r="K10" i="16" s="1"/>
  <c r="I5" i="13"/>
  <c r="K26" i="2" l="1"/>
  <c r="R25" i="16" s="1"/>
  <c r="I129" i="16"/>
  <c r="R197" i="16"/>
  <c r="I45" i="15"/>
  <c r="I10" i="15"/>
  <c r="I45" i="16"/>
  <c r="I10" i="16"/>
  <c r="O208" i="16"/>
  <c r="I233" i="16"/>
  <c r="K65" i="2"/>
  <c r="R64" i="16" s="1"/>
  <c r="K29" i="7"/>
  <c r="N28" i="16" s="1"/>
  <c r="N135" i="16"/>
  <c r="I222" i="15"/>
  <c r="J14" i="2"/>
  <c r="R13" i="15" s="1"/>
  <c r="I111" i="16"/>
  <c r="I221" i="16"/>
  <c r="I234" i="16"/>
  <c r="I226" i="15"/>
  <c r="K18" i="2"/>
  <c r="R17" i="16" s="1"/>
  <c r="R76" i="16"/>
  <c r="K28" i="7"/>
  <c r="N27" i="16" s="1"/>
  <c r="N222" i="16"/>
  <c r="I225" i="16"/>
  <c r="K24" i="8"/>
  <c r="M23" i="16" s="1"/>
  <c r="M135" i="16"/>
  <c r="K18" i="4"/>
  <c r="Q76" i="16"/>
  <c r="Q17" i="15"/>
  <c r="I27" i="15"/>
  <c r="O17" i="16"/>
  <c r="K12" i="2"/>
  <c r="R58" i="16"/>
  <c r="P226" i="16"/>
  <c r="K29" i="5"/>
  <c r="P28" i="16" s="1"/>
  <c r="R226" i="16"/>
  <c r="K29" i="2"/>
  <c r="R28" i="16" s="1"/>
  <c r="K18" i="9"/>
  <c r="L76" i="16"/>
  <c r="K28" i="4"/>
  <c r="Q27" i="16" s="1"/>
  <c r="Q222" i="16"/>
  <c r="K28" i="8"/>
  <c r="M27" i="16" s="1"/>
  <c r="M222" i="16"/>
  <c r="K24" i="6"/>
  <c r="O23" i="16" s="1"/>
  <c r="O135" i="16"/>
  <c r="K26" i="5"/>
  <c r="P25" i="16" s="1"/>
  <c r="P208" i="16"/>
  <c r="K28" i="2"/>
  <c r="R27" i="16" s="1"/>
  <c r="R222" i="16"/>
  <c r="K26" i="8"/>
  <c r="M25" i="16" s="1"/>
  <c r="M208" i="16"/>
  <c r="K24" i="9"/>
  <c r="L23" i="16" s="1"/>
  <c r="L135" i="16"/>
  <c r="K12" i="8"/>
  <c r="M58" i="16"/>
  <c r="K27" i="2"/>
  <c r="R26" i="16" s="1"/>
  <c r="R218" i="16"/>
  <c r="K12" i="6"/>
  <c r="O11" i="16" s="1"/>
  <c r="M226" i="16"/>
  <c r="K29" i="8"/>
  <c r="M28" i="16" s="1"/>
  <c r="K13" i="7"/>
  <c r="N12" i="16" s="1"/>
  <c r="N62" i="16"/>
  <c r="K28" i="6"/>
  <c r="O27" i="16" s="1"/>
  <c r="O222" i="16"/>
  <c r="L17" i="15"/>
  <c r="Q226" i="16"/>
  <c r="K29" i="4"/>
  <c r="Q28" i="16" s="1"/>
  <c r="I28" i="15"/>
  <c r="K65" i="8"/>
  <c r="M64" i="16" s="1"/>
  <c r="K28" i="9"/>
  <c r="L27" i="16" s="1"/>
  <c r="L222" i="16"/>
  <c r="L226" i="16"/>
  <c r="K29" i="9"/>
  <c r="L28" i="16" s="1"/>
  <c r="K13" i="8"/>
  <c r="M12" i="16" s="1"/>
  <c r="M62" i="16"/>
  <c r="O17" i="15"/>
  <c r="O226" i="16"/>
  <c r="K29" i="6"/>
  <c r="O28" i="16" s="1"/>
  <c r="K28" i="5"/>
  <c r="P27" i="16" s="1"/>
  <c r="P222" i="16"/>
  <c r="K26" i="7"/>
  <c r="N25" i="16" s="1"/>
  <c r="N208" i="16"/>
  <c r="K24" i="2"/>
  <c r="R23" i="16" s="1"/>
  <c r="R135" i="16"/>
  <c r="J14" i="8"/>
  <c r="M13" i="15" s="1"/>
  <c r="K26" i="4"/>
  <c r="Q25" i="16" s="1"/>
  <c r="Q208" i="16"/>
  <c r="K13" i="2"/>
  <c r="R12" i="16" s="1"/>
  <c r="R62" i="16"/>
  <c r="K28" i="3"/>
  <c r="K27" i="16" s="1"/>
  <c r="K13" i="3"/>
  <c r="K12" i="16" s="1"/>
  <c r="I116" i="3"/>
  <c r="J116" i="3" s="1"/>
  <c r="N116" i="3" s="1"/>
  <c r="J164" i="4"/>
  <c r="J162" i="4"/>
  <c r="I151" i="5"/>
  <c r="J164" i="6"/>
  <c r="J162" i="6"/>
  <c r="J163" i="7"/>
  <c r="J164" i="9"/>
  <c r="N164" i="9" s="1"/>
  <c r="I115" i="3"/>
  <c r="J175" i="6"/>
  <c r="J175" i="7"/>
  <c r="J175" i="9"/>
  <c r="N175" i="9" s="1"/>
  <c r="K114" i="15" l="1"/>
  <c r="J115" i="3"/>
  <c r="K164" i="6"/>
  <c r="O163" i="16" s="1"/>
  <c r="O163" i="15"/>
  <c r="L17" i="16"/>
  <c r="K175" i="7"/>
  <c r="N174" i="16" s="1"/>
  <c r="N174" i="15"/>
  <c r="I28" i="16"/>
  <c r="K175" i="9"/>
  <c r="L174" i="16" s="1"/>
  <c r="L174" i="15"/>
  <c r="K175" i="6"/>
  <c r="O174" i="16" s="1"/>
  <c r="O174" i="15"/>
  <c r="N150" i="16"/>
  <c r="N150" i="15"/>
  <c r="M11" i="16"/>
  <c r="K14" i="8"/>
  <c r="M13" i="16" s="1"/>
  <c r="K164" i="4"/>
  <c r="Q163" i="16" s="1"/>
  <c r="Q163" i="15"/>
  <c r="K164" i="9"/>
  <c r="L163" i="16" s="1"/>
  <c r="L163" i="15"/>
  <c r="I222" i="16"/>
  <c r="R11" i="16"/>
  <c r="K14" i="2"/>
  <c r="R13" i="16" s="1"/>
  <c r="I226" i="16"/>
  <c r="I27" i="16"/>
  <c r="K151" i="5"/>
  <c r="P150" i="16" s="1"/>
  <c r="P150" i="15"/>
  <c r="Q150" i="16"/>
  <c r="Q150" i="15"/>
  <c r="K162" i="4"/>
  <c r="Q161" i="16" s="1"/>
  <c r="Q161" i="15"/>
  <c r="K163" i="7"/>
  <c r="N162" i="16" s="1"/>
  <c r="N162" i="15"/>
  <c r="K141" i="15"/>
  <c r="I141" i="15" s="1"/>
  <c r="Q140" i="15"/>
  <c r="P140" i="15"/>
  <c r="O140" i="15"/>
  <c r="N140" i="15"/>
  <c r="L140" i="15"/>
  <c r="K162" i="6"/>
  <c r="O161" i="16" s="1"/>
  <c r="O161" i="15"/>
  <c r="Q17" i="16"/>
  <c r="K116" i="3"/>
  <c r="K115" i="16" s="1"/>
  <c r="K115" i="15"/>
  <c r="K141" i="16"/>
  <c r="I141" i="16" s="1"/>
  <c r="K115" i="3"/>
  <c r="K114" i="16" s="1"/>
  <c r="I240" i="4"/>
  <c r="J240" i="4" s="1"/>
  <c r="J215" i="4"/>
  <c r="Q214" i="15" s="1"/>
  <c r="J214" i="4"/>
  <c r="J178" i="4"/>
  <c r="J172" i="4"/>
  <c r="J163" i="4"/>
  <c r="I154" i="4"/>
  <c r="J154" i="4" s="1"/>
  <c r="J143" i="4"/>
  <c r="J131" i="4"/>
  <c r="Q130" i="15" s="1"/>
  <c r="I118" i="4"/>
  <c r="J118" i="4" s="1"/>
  <c r="I116" i="4"/>
  <c r="J116" i="4" s="1"/>
  <c r="I115" i="4"/>
  <c r="J115" i="4" s="1"/>
  <c r="Q114" i="15" s="1"/>
  <c r="J106" i="4"/>
  <c r="J95" i="4"/>
  <c r="I62" i="4"/>
  <c r="J62" i="4" s="1"/>
  <c r="Q61" i="15" s="1"/>
  <c r="I54" i="4"/>
  <c r="J54" i="4" s="1"/>
  <c r="Q53" i="15" s="1"/>
  <c r="I53" i="15" s="1"/>
  <c r="J215" i="5"/>
  <c r="P214" i="15" s="1"/>
  <c r="I178" i="5"/>
  <c r="J178" i="5" s="1"/>
  <c r="I168" i="5"/>
  <c r="J168" i="5" s="1"/>
  <c r="J164" i="5"/>
  <c r="J163" i="5"/>
  <c r="J162" i="5"/>
  <c r="I116" i="5"/>
  <c r="J116" i="5" s="1"/>
  <c r="P115" i="15" s="1"/>
  <c r="I115" i="5"/>
  <c r="J115" i="5" s="1"/>
  <c r="I75" i="5"/>
  <c r="J75" i="5" s="1"/>
  <c r="P74" i="15" s="1"/>
  <c r="I74" i="15" s="1"/>
  <c r="I62" i="5"/>
  <c r="J62" i="5" s="1"/>
  <c r="P61" i="15" s="1"/>
  <c r="I52" i="5"/>
  <c r="J52" i="5" s="1"/>
  <c r="P51" i="15" s="1"/>
  <c r="J215" i="6"/>
  <c r="O214" i="15" s="1"/>
  <c r="J179" i="6"/>
  <c r="J159" i="6"/>
  <c r="J147" i="6"/>
  <c r="I116" i="6"/>
  <c r="J116" i="6" s="1"/>
  <c r="I115" i="6"/>
  <c r="J115" i="6" s="1"/>
  <c r="O114" i="15" s="1"/>
  <c r="I62" i="6"/>
  <c r="J62" i="6" s="1"/>
  <c r="O61" i="15" s="1"/>
  <c r="J215" i="7"/>
  <c r="N214" i="15" s="1"/>
  <c r="J178" i="7"/>
  <c r="J164" i="7"/>
  <c r="J162" i="7"/>
  <c r="I58" i="7"/>
  <c r="J58" i="7" s="1"/>
  <c r="I116" i="7"/>
  <c r="J116" i="7" s="1"/>
  <c r="I115" i="7"/>
  <c r="J115" i="7" s="1"/>
  <c r="N114" i="15" s="1"/>
  <c r="I76" i="7"/>
  <c r="J76" i="7" s="1"/>
  <c r="N75" i="15" s="1"/>
  <c r="I55" i="7"/>
  <c r="J55" i="7" s="1"/>
  <c r="N54" i="15" s="1"/>
  <c r="I54" i="15" s="1"/>
  <c r="I45" i="9"/>
  <c r="J193" i="8"/>
  <c r="N193" i="8" s="1"/>
  <c r="I188" i="8"/>
  <c r="J188" i="8" s="1"/>
  <c r="N188" i="8" s="1"/>
  <c r="J177" i="8"/>
  <c r="N177" i="8" s="1"/>
  <c r="I176" i="8"/>
  <c r="J176" i="8" s="1"/>
  <c r="N176" i="8" s="1"/>
  <c r="J175" i="8"/>
  <c r="N175" i="8" s="1"/>
  <c r="I166" i="8"/>
  <c r="J166" i="8" s="1"/>
  <c r="N166" i="8" s="1"/>
  <c r="I164" i="8"/>
  <c r="J164" i="8" s="1"/>
  <c r="N164" i="8" s="1"/>
  <c r="I167" i="8"/>
  <c r="J167" i="8" s="1"/>
  <c r="N167" i="8" s="1"/>
  <c r="I162" i="8"/>
  <c r="J162" i="8" s="1"/>
  <c r="N162" i="8" s="1"/>
  <c r="J159" i="8"/>
  <c r="N159" i="8" s="1"/>
  <c r="J146" i="8"/>
  <c r="N146" i="8" s="1"/>
  <c r="J143" i="8"/>
  <c r="I76" i="8"/>
  <c r="J76" i="8" s="1"/>
  <c r="J215" i="9"/>
  <c r="J206" i="9"/>
  <c r="J191" i="9"/>
  <c r="N191" i="9" s="1"/>
  <c r="I190" i="9"/>
  <c r="J190" i="9" s="1"/>
  <c r="N190" i="9" s="1"/>
  <c r="J182" i="9"/>
  <c r="N182" i="9" s="1"/>
  <c r="I178" i="9"/>
  <c r="J178" i="9" s="1"/>
  <c r="N178" i="9" s="1"/>
  <c r="J172" i="9"/>
  <c r="N172" i="9" s="1"/>
  <c r="I154" i="9"/>
  <c r="J154" i="9" s="1"/>
  <c r="N154" i="9" s="1"/>
  <c r="K130" i="15"/>
  <c r="I121" i="9"/>
  <c r="J121" i="9" s="1"/>
  <c r="N121" i="9" s="1"/>
  <c r="I118" i="9"/>
  <c r="J118" i="9" s="1"/>
  <c r="N118" i="9" s="1"/>
  <c r="I116" i="9"/>
  <c r="J116" i="9" s="1"/>
  <c r="N116" i="9" s="1"/>
  <c r="I115" i="9"/>
  <c r="J115" i="9" s="1"/>
  <c r="I62" i="9"/>
  <c r="J62" i="9" s="1"/>
  <c r="I52" i="9"/>
  <c r="J52" i="9" s="1"/>
  <c r="K213" i="15"/>
  <c r="K205" i="15"/>
  <c r="I185" i="3"/>
  <c r="J185" i="3" s="1"/>
  <c r="N185" i="3" s="1"/>
  <c r="I157" i="3"/>
  <c r="J157" i="3" s="1"/>
  <c r="N157" i="3" s="1"/>
  <c r="I118" i="3"/>
  <c r="J118" i="3" s="1"/>
  <c r="N118" i="3" s="1"/>
  <c r="I120" i="3"/>
  <c r="J120" i="3" s="1"/>
  <c r="N120" i="3" s="1"/>
  <c r="I86" i="3"/>
  <c r="K75" i="15"/>
  <c r="K55" i="15"/>
  <c r="I55" i="15" s="1"/>
  <c r="I45" i="2"/>
  <c r="R44" i="10" s="1"/>
  <c r="I141" i="4"/>
  <c r="I141" i="5"/>
  <c r="I141" i="6"/>
  <c r="I141" i="7"/>
  <c r="I141" i="9"/>
  <c r="M142" i="15" l="1"/>
  <c r="N143" i="8"/>
  <c r="M75" i="15"/>
  <c r="N76" i="8"/>
  <c r="L51" i="15"/>
  <c r="N52" i="9"/>
  <c r="L214" i="15"/>
  <c r="N215" i="9"/>
  <c r="L61" i="15"/>
  <c r="N62" i="9"/>
  <c r="L205" i="15"/>
  <c r="N206" i="9"/>
  <c r="L114" i="15"/>
  <c r="N115" i="9"/>
  <c r="J86" i="3"/>
  <c r="J122" i="3"/>
  <c r="N115" i="3"/>
  <c r="I51" i="15"/>
  <c r="I205" i="15"/>
  <c r="I130" i="15"/>
  <c r="K118" i="9"/>
  <c r="L117" i="16" s="1"/>
  <c r="L117" i="15"/>
  <c r="K121" i="9"/>
  <c r="L120" i="16" s="1"/>
  <c r="I120" i="16" s="1"/>
  <c r="L120" i="15"/>
  <c r="I120" i="15" s="1"/>
  <c r="K106" i="4"/>
  <c r="Q105" i="16" s="1"/>
  <c r="Q105" i="15"/>
  <c r="K95" i="4"/>
  <c r="Q94" i="16" s="1"/>
  <c r="I94" i="16" s="1"/>
  <c r="Q94" i="15"/>
  <c r="I94" i="15" s="1"/>
  <c r="K116" i="4"/>
  <c r="Q115" i="16" s="1"/>
  <c r="Q115" i="15"/>
  <c r="K116" i="9"/>
  <c r="L115" i="16" s="1"/>
  <c r="L115" i="15"/>
  <c r="K118" i="4"/>
  <c r="Q117" i="16" s="1"/>
  <c r="Q117" i="15"/>
  <c r="K116" i="7"/>
  <c r="N115" i="16" s="1"/>
  <c r="N115" i="15"/>
  <c r="K116" i="6"/>
  <c r="O115" i="16" s="1"/>
  <c r="O115" i="15"/>
  <c r="K115" i="5"/>
  <c r="P114" i="16" s="1"/>
  <c r="P114" i="15"/>
  <c r="K190" i="9"/>
  <c r="L189" i="16" s="1"/>
  <c r="I189" i="16" s="1"/>
  <c r="L189" i="15"/>
  <c r="I189" i="15" s="1"/>
  <c r="K188" i="8"/>
  <c r="M187" i="16" s="1"/>
  <c r="I187" i="16" s="1"/>
  <c r="M187" i="15"/>
  <c r="I187" i="15" s="1"/>
  <c r="K162" i="7"/>
  <c r="N161" i="16" s="1"/>
  <c r="N161" i="15"/>
  <c r="K159" i="6"/>
  <c r="O158" i="16" s="1"/>
  <c r="O158" i="15"/>
  <c r="K148" i="5"/>
  <c r="P147" i="16" s="1"/>
  <c r="P147" i="15"/>
  <c r="K148" i="4"/>
  <c r="Q147" i="16" s="1"/>
  <c r="Q147" i="15"/>
  <c r="K191" i="9"/>
  <c r="L190" i="16" s="1"/>
  <c r="I190" i="16" s="1"/>
  <c r="L190" i="15"/>
  <c r="I190" i="15" s="1"/>
  <c r="K162" i="8"/>
  <c r="M161" i="16" s="1"/>
  <c r="M161" i="15"/>
  <c r="K193" i="8"/>
  <c r="M192" i="16" s="1"/>
  <c r="I192" i="16" s="1"/>
  <c r="M192" i="15"/>
  <c r="I192" i="15" s="1"/>
  <c r="K164" i="7"/>
  <c r="N163" i="16" s="1"/>
  <c r="N163" i="15"/>
  <c r="K179" i="6"/>
  <c r="O178" i="16" s="1"/>
  <c r="I178" i="16" s="1"/>
  <c r="O178" i="15"/>
  <c r="I178" i="15" s="1"/>
  <c r="K162" i="5"/>
  <c r="P161" i="16" s="1"/>
  <c r="P161" i="15"/>
  <c r="K154" i="4"/>
  <c r="Q153" i="16" s="1"/>
  <c r="Q153" i="15"/>
  <c r="I75" i="15"/>
  <c r="I214" i="15"/>
  <c r="K164" i="8"/>
  <c r="M163" i="16" s="1"/>
  <c r="M163" i="15"/>
  <c r="K164" i="5"/>
  <c r="P163" i="16" s="1"/>
  <c r="P163" i="15"/>
  <c r="K172" i="4"/>
  <c r="Q171" i="16" s="1"/>
  <c r="Q171" i="15"/>
  <c r="I140" i="15"/>
  <c r="K167" i="8"/>
  <c r="M166" i="16" s="1"/>
  <c r="I166" i="16" s="1"/>
  <c r="M166" i="15"/>
  <c r="I166" i="15" s="1"/>
  <c r="K154" i="9"/>
  <c r="L153" i="16" s="1"/>
  <c r="L153" i="15"/>
  <c r="K178" i="5"/>
  <c r="P177" i="16" s="1"/>
  <c r="P177" i="15"/>
  <c r="K214" i="4"/>
  <c r="Q213" i="16" s="1"/>
  <c r="Q213" i="15"/>
  <c r="I213" i="15" s="1"/>
  <c r="K163" i="5"/>
  <c r="P162" i="16" s="1"/>
  <c r="P162" i="15"/>
  <c r="K163" i="4"/>
  <c r="Q162" i="16" s="1"/>
  <c r="Q162" i="15"/>
  <c r="K178" i="4"/>
  <c r="Q177" i="16" s="1"/>
  <c r="Q177" i="15"/>
  <c r="I61" i="15"/>
  <c r="K175" i="8"/>
  <c r="M174" i="16" s="1"/>
  <c r="M174" i="15"/>
  <c r="K178" i="9"/>
  <c r="L177" i="16" s="1"/>
  <c r="L177" i="15"/>
  <c r="K146" i="8"/>
  <c r="M145" i="16" s="1"/>
  <c r="M145" i="15"/>
  <c r="K176" i="8"/>
  <c r="M175" i="16" s="1"/>
  <c r="I175" i="16" s="1"/>
  <c r="M175" i="15"/>
  <c r="I175" i="15" s="1"/>
  <c r="K178" i="7"/>
  <c r="N177" i="16" s="1"/>
  <c r="N177" i="15"/>
  <c r="K166" i="8"/>
  <c r="M165" i="16" s="1"/>
  <c r="I165" i="16" s="1"/>
  <c r="M165" i="15"/>
  <c r="I165" i="15" s="1"/>
  <c r="K168" i="5"/>
  <c r="P167" i="16" s="1"/>
  <c r="I167" i="16" s="1"/>
  <c r="P167" i="15"/>
  <c r="I167" i="15" s="1"/>
  <c r="K172" i="9"/>
  <c r="L171" i="16" s="1"/>
  <c r="L171" i="15"/>
  <c r="K182" i="9"/>
  <c r="L181" i="16" s="1"/>
  <c r="I181" i="16" s="1"/>
  <c r="L181" i="15"/>
  <c r="I181" i="15" s="1"/>
  <c r="M150" i="15"/>
  <c r="K177" i="8"/>
  <c r="M176" i="16" s="1"/>
  <c r="I176" i="16" s="1"/>
  <c r="M176" i="15"/>
  <c r="I176" i="15" s="1"/>
  <c r="K58" i="7"/>
  <c r="N57" i="16" s="1"/>
  <c r="I57" i="16" s="1"/>
  <c r="N57" i="15"/>
  <c r="I57" i="15" s="1"/>
  <c r="K147" i="6"/>
  <c r="O146" i="16" s="1"/>
  <c r="O146" i="15"/>
  <c r="K143" i="4"/>
  <c r="Q142" i="16" s="1"/>
  <c r="Q142" i="15"/>
  <c r="K240" i="4"/>
  <c r="Q239" i="16" s="1"/>
  <c r="I239" i="16" s="1"/>
  <c r="Q239" i="15"/>
  <c r="I239" i="15" s="1"/>
  <c r="K159" i="8"/>
  <c r="M158" i="16" s="1"/>
  <c r="I158" i="16" s="1"/>
  <c r="M158" i="15"/>
  <c r="Q140" i="16"/>
  <c r="L140" i="16"/>
  <c r="O140" i="16"/>
  <c r="N140" i="16"/>
  <c r="K106" i="3"/>
  <c r="K105" i="16" s="1"/>
  <c r="K105" i="15"/>
  <c r="K102" i="16"/>
  <c r="I102" i="16" s="1"/>
  <c r="K102" i="15"/>
  <c r="I102" i="15" s="1"/>
  <c r="K120" i="3"/>
  <c r="K119" i="16" s="1"/>
  <c r="I119" i="16" s="1"/>
  <c r="K119" i="15"/>
  <c r="I119" i="15" s="1"/>
  <c r="K118" i="3"/>
  <c r="K117" i="15"/>
  <c r="K146" i="3"/>
  <c r="K145" i="16" s="1"/>
  <c r="K145" i="15"/>
  <c r="K147" i="3"/>
  <c r="K146" i="16" s="1"/>
  <c r="K146" i="15"/>
  <c r="K183" i="3"/>
  <c r="K182" i="16" s="1"/>
  <c r="I182" i="16" s="1"/>
  <c r="K182" i="15"/>
  <c r="I182" i="15" s="1"/>
  <c r="K185" i="3"/>
  <c r="K184" i="16" s="1"/>
  <c r="I184" i="16" s="1"/>
  <c r="K184" i="15"/>
  <c r="I184" i="15" s="1"/>
  <c r="K172" i="3"/>
  <c r="K171" i="16" s="1"/>
  <c r="K171" i="15"/>
  <c r="K178" i="3"/>
  <c r="K177" i="16" s="1"/>
  <c r="K177" i="15"/>
  <c r="K157" i="3"/>
  <c r="K156" i="16" s="1"/>
  <c r="I156" i="16" s="1"/>
  <c r="K156" i="15"/>
  <c r="I156" i="15" s="1"/>
  <c r="K174" i="3"/>
  <c r="K173" i="16" s="1"/>
  <c r="I173" i="16" s="1"/>
  <c r="K173" i="15"/>
  <c r="I173" i="15" s="1"/>
  <c r="K175" i="3"/>
  <c r="K174" i="16" s="1"/>
  <c r="K174" i="15"/>
  <c r="K76" i="8"/>
  <c r="J77" i="8"/>
  <c r="K143" i="8"/>
  <c r="J198" i="8"/>
  <c r="N198" i="8" s="1"/>
  <c r="K55" i="7"/>
  <c r="J59" i="7"/>
  <c r="N58" i="15" s="1"/>
  <c r="K215" i="7"/>
  <c r="J219" i="7"/>
  <c r="K76" i="7"/>
  <c r="J77" i="7"/>
  <c r="K115" i="7"/>
  <c r="J122" i="7"/>
  <c r="N121" i="15" s="1"/>
  <c r="K115" i="6"/>
  <c r="J122" i="6"/>
  <c r="O121" i="15" s="1"/>
  <c r="K215" i="6"/>
  <c r="J219" i="6"/>
  <c r="O218" i="15" s="1"/>
  <c r="J63" i="6"/>
  <c r="O62" i="15" s="1"/>
  <c r="K62" i="6"/>
  <c r="K62" i="5"/>
  <c r="J63" i="5"/>
  <c r="J219" i="5"/>
  <c r="K215" i="5"/>
  <c r="J122" i="5"/>
  <c r="P121" i="15" s="1"/>
  <c r="K116" i="5"/>
  <c r="J198" i="5"/>
  <c r="N198" i="5" s="1"/>
  <c r="K52" i="5"/>
  <c r="P51" i="16" s="1"/>
  <c r="K75" i="5"/>
  <c r="J77" i="5"/>
  <c r="K54" i="4"/>
  <c r="J59" i="4"/>
  <c r="Q58" i="15" s="1"/>
  <c r="J198" i="4"/>
  <c r="N198" i="4" s="1"/>
  <c r="K62" i="4"/>
  <c r="J63" i="4"/>
  <c r="K115" i="4"/>
  <c r="J122" i="4"/>
  <c r="Q121" i="15" s="1"/>
  <c r="K131" i="4"/>
  <c r="J136" i="4"/>
  <c r="J219" i="4"/>
  <c r="K215" i="4"/>
  <c r="K206" i="9"/>
  <c r="J209" i="9"/>
  <c r="N209" i="9" s="1"/>
  <c r="K215" i="9"/>
  <c r="J219" i="9"/>
  <c r="N219" i="9" s="1"/>
  <c r="K115" i="9"/>
  <c r="J122" i="9"/>
  <c r="L121" i="15" s="1"/>
  <c r="K52" i="9"/>
  <c r="J59" i="9"/>
  <c r="L58" i="15" s="1"/>
  <c r="K62" i="9"/>
  <c r="J63" i="9"/>
  <c r="K121" i="15"/>
  <c r="K206" i="3"/>
  <c r="K131" i="3"/>
  <c r="K56" i="3"/>
  <c r="K58" i="15"/>
  <c r="K214" i="3"/>
  <c r="K76" i="3"/>
  <c r="K86" i="3"/>
  <c r="P36" i="1"/>
  <c r="O36" i="1"/>
  <c r="N36" i="1"/>
  <c r="M36" i="1"/>
  <c r="L36" i="1"/>
  <c r="K36" i="1"/>
  <c r="J36" i="1"/>
  <c r="I36" i="1"/>
  <c r="G36" i="1"/>
  <c r="L48" i="10"/>
  <c r="L49" i="10"/>
  <c r="L50" i="10"/>
  <c r="L51" i="10"/>
  <c r="L52" i="10"/>
  <c r="L53" i="10"/>
  <c r="L54" i="10"/>
  <c r="L55" i="10"/>
  <c r="L56" i="10"/>
  <c r="L57" i="10"/>
  <c r="L59" i="10"/>
  <c r="L60" i="10"/>
  <c r="L61" i="10"/>
  <c r="L67" i="10"/>
  <c r="L68" i="10"/>
  <c r="L69" i="10"/>
  <c r="L72" i="10"/>
  <c r="L73" i="10"/>
  <c r="L74" i="10"/>
  <c r="L75" i="10"/>
  <c r="L79" i="10"/>
  <c r="L80" i="10"/>
  <c r="L84" i="10"/>
  <c r="L85" i="10"/>
  <c r="L86" i="10"/>
  <c r="L87" i="10"/>
  <c r="L88" i="10"/>
  <c r="L90" i="10"/>
  <c r="L91" i="10"/>
  <c r="L92" i="10"/>
  <c r="L93" i="10"/>
  <c r="L94" i="10"/>
  <c r="L95" i="10"/>
  <c r="L96" i="10"/>
  <c r="L97" i="10"/>
  <c r="L98" i="10"/>
  <c r="L99" i="10"/>
  <c r="L100" i="10"/>
  <c r="L101" i="10"/>
  <c r="L102" i="10"/>
  <c r="L103" i="10"/>
  <c r="L104" i="10"/>
  <c r="L105" i="10"/>
  <c r="L109" i="10"/>
  <c r="L110" i="10"/>
  <c r="L114" i="10"/>
  <c r="L115" i="10"/>
  <c r="L116" i="10"/>
  <c r="L117" i="10"/>
  <c r="L118" i="10"/>
  <c r="L119" i="10"/>
  <c r="L120" i="10"/>
  <c r="L129" i="10"/>
  <c r="L130" i="10"/>
  <c r="L131" i="10"/>
  <c r="L132" i="10"/>
  <c r="L133" i="10"/>
  <c r="L134" i="10"/>
  <c r="L138" i="10"/>
  <c r="L139" i="10"/>
  <c r="L140" i="10"/>
  <c r="L141" i="10"/>
  <c r="L142" i="10"/>
  <c r="L143" i="10"/>
  <c r="L144" i="10"/>
  <c r="L145" i="10"/>
  <c r="L146" i="10"/>
  <c r="L148" i="10"/>
  <c r="L149" i="10"/>
  <c r="L151" i="10"/>
  <c r="L152" i="10"/>
  <c r="L153" i="10"/>
  <c r="L154" i="10"/>
  <c r="L155" i="10"/>
  <c r="L156" i="10"/>
  <c r="L157" i="10"/>
  <c r="L158" i="10"/>
  <c r="L159" i="10"/>
  <c r="L160" i="10"/>
  <c r="L161" i="10"/>
  <c r="L162" i="10"/>
  <c r="L163" i="10"/>
  <c r="L164" i="10"/>
  <c r="L165" i="10"/>
  <c r="L166" i="10"/>
  <c r="L167" i="10"/>
  <c r="L168" i="10"/>
  <c r="L169" i="10"/>
  <c r="L170" i="10"/>
  <c r="L171" i="10"/>
  <c r="L172" i="10"/>
  <c r="L173" i="10"/>
  <c r="L174" i="10"/>
  <c r="L175" i="10"/>
  <c r="L176" i="10"/>
  <c r="L177" i="10"/>
  <c r="L178" i="10"/>
  <c r="L179" i="10"/>
  <c r="L180" i="10"/>
  <c r="L181" i="10"/>
  <c r="L182" i="10"/>
  <c r="L183" i="10"/>
  <c r="L184" i="10"/>
  <c r="L185" i="10"/>
  <c r="L186" i="10"/>
  <c r="L187" i="10"/>
  <c r="L188" i="10"/>
  <c r="L189" i="10"/>
  <c r="L190" i="10"/>
  <c r="L191" i="10"/>
  <c r="L192" i="10"/>
  <c r="L193" i="10"/>
  <c r="L194" i="10"/>
  <c r="L195" i="10"/>
  <c r="L196" i="10"/>
  <c r="L200" i="10"/>
  <c r="L201" i="10"/>
  <c r="L202" i="10"/>
  <c r="L203" i="10"/>
  <c r="L204" i="10"/>
  <c r="L205" i="10"/>
  <c r="L206" i="10"/>
  <c r="L207" i="10"/>
  <c r="L211" i="10"/>
  <c r="L212" i="10"/>
  <c r="L213" i="10"/>
  <c r="L214" i="10"/>
  <c r="L215" i="10"/>
  <c r="L216" i="10"/>
  <c r="L217" i="10"/>
  <c r="L221" i="10"/>
  <c r="L225" i="10"/>
  <c r="L229" i="10"/>
  <c r="L230" i="10"/>
  <c r="L231" i="10"/>
  <c r="L232" i="10"/>
  <c r="L233" i="10"/>
  <c r="H235" i="10"/>
  <c r="L238" i="10"/>
  <c r="L239" i="10"/>
  <c r="L240" i="10"/>
  <c r="L241" i="10"/>
  <c r="L43" i="10"/>
  <c r="L42" i="10"/>
  <c r="L41" i="10"/>
  <c r="L28" i="10"/>
  <c r="L18" i="10"/>
  <c r="L16" i="10"/>
  <c r="I44" i="3"/>
  <c r="I243" i="3"/>
  <c r="I235" i="3"/>
  <c r="K234" i="10" s="1"/>
  <c r="I227" i="3"/>
  <c r="I29" i="3" s="1"/>
  <c r="K28" i="10" s="1"/>
  <c r="I223" i="3"/>
  <c r="I28" i="3" s="1"/>
  <c r="K27" i="10" s="1"/>
  <c r="I219" i="3"/>
  <c r="I27" i="3" s="1"/>
  <c r="K26" i="10" s="1"/>
  <c r="I209" i="3"/>
  <c r="K208" i="10" s="1"/>
  <c r="I136" i="3"/>
  <c r="I24" i="3" s="1"/>
  <c r="K23" i="10" s="1"/>
  <c r="I122" i="3"/>
  <c r="I112" i="3"/>
  <c r="K111" i="10" s="1"/>
  <c r="I107" i="3"/>
  <c r="K106" i="10" s="1"/>
  <c r="I77" i="3"/>
  <c r="I18" i="3" s="1"/>
  <c r="K17" i="10" s="1"/>
  <c r="I63" i="3"/>
  <c r="K62" i="10" s="1"/>
  <c r="I59" i="3"/>
  <c r="I12" i="3" s="1"/>
  <c r="K11" i="10" s="1"/>
  <c r="I46" i="3"/>
  <c r="I33" i="3"/>
  <c r="K32" i="10" s="1"/>
  <c r="F8" i="12"/>
  <c r="I243" i="2"/>
  <c r="R242" i="10" s="1"/>
  <c r="I235" i="2"/>
  <c r="R234" i="10" s="1"/>
  <c r="I227" i="2"/>
  <c r="R226" i="10" s="1"/>
  <c r="I223" i="2"/>
  <c r="I28" i="2" s="1"/>
  <c r="R27" i="10" s="1"/>
  <c r="I219" i="2"/>
  <c r="I209" i="2"/>
  <c r="I198" i="2"/>
  <c r="I25" i="2" s="1"/>
  <c r="R24" i="10" s="1"/>
  <c r="I136" i="2"/>
  <c r="I24" i="2" s="1"/>
  <c r="R23" i="10" s="1"/>
  <c r="I116" i="2"/>
  <c r="J116" i="2" s="1"/>
  <c r="I115" i="2"/>
  <c r="R114" i="10" s="1"/>
  <c r="I112" i="2"/>
  <c r="I107" i="2"/>
  <c r="I82" i="2"/>
  <c r="R81" i="10" s="1"/>
  <c r="I77" i="2"/>
  <c r="R76" i="10" s="1"/>
  <c r="I63" i="2"/>
  <c r="I59" i="2"/>
  <c r="I12" i="2" s="1"/>
  <c r="R11" i="10" s="1"/>
  <c r="I46" i="2"/>
  <c r="I11" i="2" s="1"/>
  <c r="I29" i="2"/>
  <c r="R28" i="10" s="1"/>
  <c r="I27" i="2"/>
  <c r="I26" i="2"/>
  <c r="I13" i="2"/>
  <c r="R12" i="10" s="1"/>
  <c r="I243" i="4"/>
  <c r="I235" i="4"/>
  <c r="Q234" i="10" s="1"/>
  <c r="I227" i="4"/>
  <c r="I29" i="4" s="1"/>
  <c r="Q28" i="10" s="1"/>
  <c r="I223" i="4"/>
  <c r="Q222" i="10" s="1"/>
  <c r="I219" i="4"/>
  <c r="Q218" i="10" s="1"/>
  <c r="I209" i="4"/>
  <c r="I198" i="4"/>
  <c r="I136" i="4"/>
  <c r="I24" i="4" s="1"/>
  <c r="Q23" i="10" s="1"/>
  <c r="I122" i="4"/>
  <c r="I112" i="4"/>
  <c r="Q111" i="10" s="1"/>
  <c r="I82" i="4"/>
  <c r="I77" i="4"/>
  <c r="I63" i="4"/>
  <c r="I59" i="4"/>
  <c r="I12" i="4" s="1"/>
  <c r="Q11" i="10" s="1"/>
  <c r="I26" i="4"/>
  <c r="Q25" i="10" s="1"/>
  <c r="I18" i="4"/>
  <c r="I243" i="5"/>
  <c r="P242" i="15" s="1"/>
  <c r="I235" i="5"/>
  <c r="I227" i="5"/>
  <c r="I29" i="5" s="1"/>
  <c r="P28" i="10" s="1"/>
  <c r="I223" i="5"/>
  <c r="P222" i="10" s="1"/>
  <c r="I219" i="5"/>
  <c r="I27" i="5" s="1"/>
  <c r="P26" i="10" s="1"/>
  <c r="I209" i="5"/>
  <c r="P208" i="10" s="1"/>
  <c r="P161" i="10"/>
  <c r="I198" i="5"/>
  <c r="J135" i="5"/>
  <c r="P134" i="15" s="1"/>
  <c r="I134" i="15" s="1"/>
  <c r="I122" i="5"/>
  <c r="I112" i="5"/>
  <c r="P111" i="10" s="1"/>
  <c r="J90" i="5"/>
  <c r="I82" i="5"/>
  <c r="I77" i="5"/>
  <c r="I63" i="5"/>
  <c r="I59" i="5"/>
  <c r="I12" i="5" s="1"/>
  <c r="P11" i="10" s="1"/>
  <c r="I57" i="5"/>
  <c r="I33" i="5"/>
  <c r="I18" i="5"/>
  <c r="P17" i="10" s="1"/>
  <c r="I243" i="8"/>
  <c r="I235" i="8"/>
  <c r="M234" i="10" s="1"/>
  <c r="I227" i="8"/>
  <c r="M226" i="10" s="1"/>
  <c r="I223" i="8"/>
  <c r="I219" i="8"/>
  <c r="I209" i="8"/>
  <c r="I26" i="8" s="1"/>
  <c r="M25" i="10" s="1"/>
  <c r="I198" i="8"/>
  <c r="I136" i="8"/>
  <c r="I24" i="8" s="1"/>
  <c r="M23" i="10" s="1"/>
  <c r="I116" i="8"/>
  <c r="I112" i="8"/>
  <c r="M111" i="10" s="1"/>
  <c r="I107" i="8"/>
  <c r="M106" i="10" s="1"/>
  <c r="I82" i="8"/>
  <c r="I77" i="8"/>
  <c r="I18" i="8" s="1"/>
  <c r="M17" i="10" s="1"/>
  <c r="I63" i="8"/>
  <c r="M62" i="10" s="1"/>
  <c r="I59" i="8"/>
  <c r="I12" i="8" s="1"/>
  <c r="I46" i="8"/>
  <c r="I11" i="8" s="1"/>
  <c r="M10" i="10" s="1"/>
  <c r="I33" i="8"/>
  <c r="M32" i="10" s="1"/>
  <c r="I29" i="8"/>
  <c r="M28" i="10" s="1"/>
  <c r="I28" i="8"/>
  <c r="M27" i="10" s="1"/>
  <c r="I27" i="8"/>
  <c r="I243" i="7"/>
  <c r="N242" i="10" s="1"/>
  <c r="I235" i="7"/>
  <c r="I227" i="7"/>
  <c r="I223" i="7"/>
  <c r="N222" i="10" s="1"/>
  <c r="I219" i="7"/>
  <c r="I27" i="7" s="1"/>
  <c r="N26" i="10" s="1"/>
  <c r="I209" i="7"/>
  <c r="I26" i="7" s="1"/>
  <c r="N25" i="10" s="1"/>
  <c r="I154" i="7"/>
  <c r="J148" i="7"/>
  <c r="I198" i="7"/>
  <c r="I136" i="7"/>
  <c r="I24" i="7" s="1"/>
  <c r="N23" i="10" s="1"/>
  <c r="I122" i="7"/>
  <c r="I112" i="7"/>
  <c r="N111" i="10" s="1"/>
  <c r="J90" i="7"/>
  <c r="I82" i="7"/>
  <c r="I77" i="7"/>
  <c r="I18" i="7" s="1"/>
  <c r="N17" i="10" s="1"/>
  <c r="I63" i="7"/>
  <c r="I13" i="7" s="1"/>
  <c r="N12" i="10" s="1"/>
  <c r="N57" i="10"/>
  <c r="I29" i="7"/>
  <c r="N28" i="10" s="1"/>
  <c r="I11" i="7"/>
  <c r="N10" i="10" s="1"/>
  <c r="I243" i="6"/>
  <c r="I235" i="6"/>
  <c r="I227" i="6"/>
  <c r="O226" i="10" s="1"/>
  <c r="I223" i="6"/>
  <c r="I28" i="6" s="1"/>
  <c r="O27" i="10" s="1"/>
  <c r="I219" i="6"/>
  <c r="I209" i="6"/>
  <c r="J151" i="6"/>
  <c r="J198" i="3" s="1"/>
  <c r="N198" i="3" s="1"/>
  <c r="J148" i="6"/>
  <c r="O140" i="10"/>
  <c r="I136" i="6"/>
  <c r="I24" i="6" s="1"/>
  <c r="O23" i="10" s="1"/>
  <c r="I122" i="6"/>
  <c r="I112" i="6"/>
  <c r="O111" i="10" s="1"/>
  <c r="I82" i="6"/>
  <c r="I77" i="6"/>
  <c r="I63" i="6"/>
  <c r="O62" i="10" s="1"/>
  <c r="I59" i="6"/>
  <c r="I12" i="6" s="1"/>
  <c r="O11" i="10" s="1"/>
  <c r="I29" i="6"/>
  <c r="O28" i="10" s="1"/>
  <c r="I26" i="6"/>
  <c r="I18" i="6"/>
  <c r="M26" i="10"/>
  <c r="M114" i="10"/>
  <c r="M57" i="10"/>
  <c r="M222" i="10"/>
  <c r="H33" i="11"/>
  <c r="F33" i="11"/>
  <c r="E33" i="11"/>
  <c r="D33" i="11"/>
  <c r="C33" i="11"/>
  <c r="B33" i="11"/>
  <c r="G28" i="11"/>
  <c r="F27" i="11"/>
  <c r="C27" i="11"/>
  <c r="G25" i="11"/>
  <c r="F37" i="11" s="1"/>
  <c r="F43" i="11" s="1"/>
  <c r="I41" i="6" s="1"/>
  <c r="O40" i="10" s="1"/>
  <c r="I243" i="9"/>
  <c r="I235" i="9"/>
  <c r="L234" i="10" s="1"/>
  <c r="I227" i="9"/>
  <c r="I29" i="9" s="1"/>
  <c r="I223" i="9"/>
  <c r="I28" i="9" s="1"/>
  <c r="L27" i="10" s="1"/>
  <c r="I219" i="9"/>
  <c r="L218" i="10" s="1"/>
  <c r="I209" i="9"/>
  <c r="I26" i="9" s="1"/>
  <c r="L25" i="10" s="1"/>
  <c r="J148" i="9"/>
  <c r="N148" i="9" s="1"/>
  <c r="I198" i="9"/>
  <c r="I25" i="9" s="1"/>
  <c r="I136" i="9"/>
  <c r="I24" i="9" s="1"/>
  <c r="L23" i="10" s="1"/>
  <c r="I122" i="9"/>
  <c r="L121" i="10" s="1"/>
  <c r="I112" i="9"/>
  <c r="L111" i="10" s="1"/>
  <c r="L89" i="10"/>
  <c r="I82" i="9"/>
  <c r="L81" i="10" s="1"/>
  <c r="I77" i="9"/>
  <c r="L76" i="10" s="1"/>
  <c r="I63" i="9"/>
  <c r="I13" i="9" s="1"/>
  <c r="L12" i="10" s="1"/>
  <c r="I59" i="9"/>
  <c r="I12" i="9" s="1"/>
  <c r="L11" i="10" s="1"/>
  <c r="L44" i="10"/>
  <c r="H44" i="10" s="1"/>
  <c r="N45" i="10"/>
  <c r="P242" i="10"/>
  <c r="O242" i="10"/>
  <c r="R241" i="10"/>
  <c r="Q241" i="10"/>
  <c r="P241" i="10"/>
  <c r="O241" i="10"/>
  <c r="N241" i="10"/>
  <c r="M241" i="10"/>
  <c r="K241" i="10"/>
  <c r="R240" i="10"/>
  <c r="Q240" i="10"/>
  <c r="P240" i="10"/>
  <c r="O240" i="10"/>
  <c r="N240" i="10"/>
  <c r="M240" i="10"/>
  <c r="K240" i="10"/>
  <c r="R239" i="10"/>
  <c r="Q239" i="10"/>
  <c r="P239" i="10"/>
  <c r="O239" i="10"/>
  <c r="N239" i="10"/>
  <c r="M239" i="10"/>
  <c r="K239" i="10"/>
  <c r="R238" i="10"/>
  <c r="Q238" i="10"/>
  <c r="P238" i="10"/>
  <c r="O238" i="10"/>
  <c r="N238" i="10"/>
  <c r="M238" i="10"/>
  <c r="K238" i="10"/>
  <c r="K236" i="10"/>
  <c r="P234" i="10"/>
  <c r="O234" i="10"/>
  <c r="N234" i="10"/>
  <c r="R233" i="10"/>
  <c r="Q233" i="10"/>
  <c r="P233" i="10"/>
  <c r="O233" i="10"/>
  <c r="N233" i="10"/>
  <c r="M233" i="10"/>
  <c r="K233" i="10"/>
  <c r="R232" i="10"/>
  <c r="Q232" i="10"/>
  <c r="P232" i="10"/>
  <c r="O232" i="10"/>
  <c r="N232" i="10"/>
  <c r="M232" i="10"/>
  <c r="K232" i="10"/>
  <c r="R231" i="10"/>
  <c r="Q231" i="10"/>
  <c r="P231" i="10"/>
  <c r="O231" i="10"/>
  <c r="N231" i="10"/>
  <c r="M231" i="10"/>
  <c r="K231" i="10"/>
  <c r="P226" i="10"/>
  <c r="N226" i="10"/>
  <c r="R225" i="10"/>
  <c r="Q225" i="10"/>
  <c r="P225" i="10"/>
  <c r="O225" i="10"/>
  <c r="N225" i="10"/>
  <c r="M225" i="10"/>
  <c r="K225" i="10"/>
  <c r="R222" i="10"/>
  <c r="K222" i="10"/>
  <c r="R221" i="10"/>
  <c r="Q221" i="10"/>
  <c r="P221" i="10"/>
  <c r="O221" i="10"/>
  <c r="N221" i="10"/>
  <c r="M221" i="10"/>
  <c r="K221" i="10"/>
  <c r="N218" i="10"/>
  <c r="R217" i="10"/>
  <c r="Q217" i="10"/>
  <c r="P217" i="10"/>
  <c r="O217" i="10"/>
  <c r="N217" i="10"/>
  <c r="M217" i="10"/>
  <c r="K217" i="10"/>
  <c r="R216" i="10"/>
  <c r="Q216" i="10"/>
  <c r="P216" i="10"/>
  <c r="O216" i="10"/>
  <c r="N216" i="10"/>
  <c r="M216" i="10"/>
  <c r="K216" i="10"/>
  <c r="R215" i="10"/>
  <c r="Q215" i="10"/>
  <c r="P215" i="10"/>
  <c r="O215" i="10"/>
  <c r="N215" i="10"/>
  <c r="M215" i="10"/>
  <c r="K215" i="10"/>
  <c r="R214" i="10"/>
  <c r="Q214" i="10"/>
  <c r="P214" i="10"/>
  <c r="O214" i="10"/>
  <c r="N214" i="10"/>
  <c r="M214" i="10"/>
  <c r="K214" i="10"/>
  <c r="R213" i="10"/>
  <c r="Q213" i="10"/>
  <c r="P213" i="10"/>
  <c r="O213" i="10"/>
  <c r="N213" i="10"/>
  <c r="M213" i="10"/>
  <c r="K213" i="10"/>
  <c r="R212" i="10"/>
  <c r="Q212" i="10"/>
  <c r="P212" i="10"/>
  <c r="O212" i="10"/>
  <c r="N212" i="10"/>
  <c r="M212" i="10"/>
  <c r="K212" i="10"/>
  <c r="R211" i="10"/>
  <c r="Q211" i="10"/>
  <c r="P211" i="10"/>
  <c r="O211" i="10"/>
  <c r="N211" i="10"/>
  <c r="M211" i="10"/>
  <c r="K211" i="10"/>
  <c r="R208" i="10"/>
  <c r="Q208" i="10"/>
  <c r="O208" i="10"/>
  <c r="R207" i="10"/>
  <c r="Q207" i="10"/>
  <c r="P207" i="10"/>
  <c r="O207" i="10"/>
  <c r="N207" i="10"/>
  <c r="M207" i="10"/>
  <c r="K207" i="10"/>
  <c r="R206" i="10"/>
  <c r="Q206" i="10"/>
  <c r="P206" i="10"/>
  <c r="O206" i="10"/>
  <c r="N206" i="10"/>
  <c r="M206" i="10"/>
  <c r="K206" i="10"/>
  <c r="R205" i="10"/>
  <c r="Q205" i="10"/>
  <c r="P205" i="10"/>
  <c r="O205" i="10"/>
  <c r="N205" i="10"/>
  <c r="M205" i="10"/>
  <c r="K205" i="10"/>
  <c r="R204" i="10"/>
  <c r="Q204" i="10"/>
  <c r="P204" i="10"/>
  <c r="O204" i="10"/>
  <c r="N204" i="10"/>
  <c r="M204" i="10"/>
  <c r="K204" i="10"/>
  <c r="R203" i="10"/>
  <c r="Q203" i="10"/>
  <c r="P203" i="10"/>
  <c r="O203" i="10"/>
  <c r="N203" i="10"/>
  <c r="M203" i="10"/>
  <c r="K203" i="10"/>
  <c r="R202" i="10"/>
  <c r="Q202" i="10"/>
  <c r="P202" i="10"/>
  <c r="O202" i="10"/>
  <c r="N202" i="10"/>
  <c r="M202" i="10"/>
  <c r="K202" i="10"/>
  <c r="R201" i="10"/>
  <c r="Q201" i="10"/>
  <c r="P201" i="10"/>
  <c r="O201" i="10"/>
  <c r="N201" i="10"/>
  <c r="M201" i="10"/>
  <c r="K201" i="10"/>
  <c r="R200" i="10"/>
  <c r="Q200" i="10"/>
  <c r="P200" i="10"/>
  <c r="O200" i="10"/>
  <c r="N200" i="10"/>
  <c r="M200" i="10"/>
  <c r="K200" i="10"/>
  <c r="R196" i="10"/>
  <c r="Q196" i="10"/>
  <c r="P196" i="10"/>
  <c r="O196" i="10"/>
  <c r="N196" i="10"/>
  <c r="M196" i="10"/>
  <c r="K196" i="10"/>
  <c r="R195" i="10"/>
  <c r="Q195" i="10"/>
  <c r="P195" i="10"/>
  <c r="O195" i="10"/>
  <c r="N195" i="10"/>
  <c r="M195" i="10"/>
  <c r="K195" i="10"/>
  <c r="R194" i="10"/>
  <c r="Q194" i="10"/>
  <c r="P194" i="10"/>
  <c r="O194" i="10"/>
  <c r="N194" i="10"/>
  <c r="M194" i="10"/>
  <c r="K194" i="10"/>
  <c r="R193" i="10"/>
  <c r="Q193" i="10"/>
  <c r="P193" i="10"/>
  <c r="O193" i="10"/>
  <c r="N193" i="10"/>
  <c r="M193" i="10"/>
  <c r="K193" i="10"/>
  <c r="R192" i="10"/>
  <c r="Q192" i="10"/>
  <c r="P192" i="10"/>
  <c r="O192" i="10"/>
  <c r="N192" i="10"/>
  <c r="M192" i="10"/>
  <c r="K192" i="10"/>
  <c r="R191" i="10"/>
  <c r="Q191" i="10"/>
  <c r="P191" i="10"/>
  <c r="O191" i="10"/>
  <c r="N191" i="10"/>
  <c r="M191" i="10"/>
  <c r="K191" i="10"/>
  <c r="R190" i="10"/>
  <c r="Q190" i="10"/>
  <c r="P190" i="10"/>
  <c r="O190" i="10"/>
  <c r="N190" i="10"/>
  <c r="M190" i="10"/>
  <c r="K190" i="10"/>
  <c r="R189" i="10"/>
  <c r="Q189" i="10"/>
  <c r="P189" i="10"/>
  <c r="O189" i="10"/>
  <c r="N189" i="10"/>
  <c r="M189" i="10"/>
  <c r="K189" i="10"/>
  <c r="R188" i="10"/>
  <c r="Q188" i="10"/>
  <c r="P188" i="10"/>
  <c r="O188" i="10"/>
  <c r="N188" i="10"/>
  <c r="M188" i="10"/>
  <c r="K188" i="10"/>
  <c r="R187" i="10"/>
  <c r="Q187" i="10"/>
  <c r="P187" i="10"/>
  <c r="O187" i="10"/>
  <c r="N187" i="10"/>
  <c r="M187" i="10"/>
  <c r="K187" i="10"/>
  <c r="R186" i="10"/>
  <c r="Q186" i="10"/>
  <c r="P186" i="10"/>
  <c r="O186" i="10"/>
  <c r="N186" i="10"/>
  <c r="M186" i="10"/>
  <c r="K186" i="10"/>
  <c r="R185" i="10"/>
  <c r="Q185" i="10"/>
  <c r="P185" i="10"/>
  <c r="O185" i="10"/>
  <c r="N185" i="10"/>
  <c r="M185" i="10"/>
  <c r="K185" i="10"/>
  <c r="R184" i="10"/>
  <c r="Q184" i="10"/>
  <c r="P184" i="10"/>
  <c r="O184" i="10"/>
  <c r="N184" i="10"/>
  <c r="M184" i="10"/>
  <c r="K184" i="10"/>
  <c r="R183" i="10"/>
  <c r="Q183" i="10"/>
  <c r="P183" i="10"/>
  <c r="O183" i="10"/>
  <c r="N183" i="10"/>
  <c r="M183" i="10"/>
  <c r="K183" i="10"/>
  <c r="R182" i="10"/>
  <c r="Q182" i="10"/>
  <c r="P182" i="10"/>
  <c r="O182" i="10"/>
  <c r="N182" i="10"/>
  <c r="M182" i="10"/>
  <c r="K182" i="10"/>
  <c r="R181" i="10"/>
  <c r="Q181" i="10"/>
  <c r="P181" i="10"/>
  <c r="O181" i="10"/>
  <c r="N181" i="10"/>
  <c r="M181" i="10"/>
  <c r="K181" i="10"/>
  <c r="R180" i="10"/>
  <c r="Q180" i="10"/>
  <c r="P180" i="10"/>
  <c r="O180" i="10"/>
  <c r="N180" i="10"/>
  <c r="M180" i="10"/>
  <c r="K180" i="10"/>
  <c r="R179" i="10"/>
  <c r="Q179" i="10"/>
  <c r="P179" i="10"/>
  <c r="O179" i="10"/>
  <c r="N179" i="10"/>
  <c r="M179" i="10"/>
  <c r="K179" i="10"/>
  <c r="R178" i="10"/>
  <c r="Q178" i="10"/>
  <c r="P178" i="10"/>
  <c r="O178" i="10"/>
  <c r="N178" i="10"/>
  <c r="M178" i="10"/>
  <c r="K178" i="10"/>
  <c r="R177" i="10"/>
  <c r="Q177" i="10"/>
  <c r="P177" i="10"/>
  <c r="O177" i="10"/>
  <c r="N177" i="10"/>
  <c r="M177" i="10"/>
  <c r="K177" i="10"/>
  <c r="R176" i="10"/>
  <c r="Q176" i="10"/>
  <c r="P176" i="10"/>
  <c r="O176" i="10"/>
  <c r="N176" i="10"/>
  <c r="M176" i="10"/>
  <c r="K176" i="10"/>
  <c r="R175" i="10"/>
  <c r="Q175" i="10"/>
  <c r="P175" i="10"/>
  <c r="O175" i="10"/>
  <c r="N175" i="10"/>
  <c r="M175" i="10"/>
  <c r="K175" i="10"/>
  <c r="R174" i="10"/>
  <c r="Q174" i="10"/>
  <c r="P174" i="10"/>
  <c r="O174" i="10"/>
  <c r="N174" i="10"/>
  <c r="M174" i="10"/>
  <c r="K174" i="10"/>
  <c r="R173" i="10"/>
  <c r="Q173" i="10"/>
  <c r="P173" i="10"/>
  <c r="O173" i="10"/>
  <c r="N173" i="10"/>
  <c r="M173" i="10"/>
  <c r="K173" i="10"/>
  <c r="R172" i="10"/>
  <c r="Q172" i="10"/>
  <c r="P172" i="10"/>
  <c r="O172" i="10"/>
  <c r="N172" i="10"/>
  <c r="M172" i="10"/>
  <c r="K172" i="10"/>
  <c r="R171" i="10"/>
  <c r="Q171" i="10"/>
  <c r="P171" i="10"/>
  <c r="O171" i="10"/>
  <c r="N171" i="10"/>
  <c r="M171" i="10"/>
  <c r="K171" i="10"/>
  <c r="R170" i="10"/>
  <c r="Q170" i="10"/>
  <c r="P170" i="10"/>
  <c r="O170" i="10"/>
  <c r="N170" i="10"/>
  <c r="M170" i="10"/>
  <c r="K170" i="10"/>
  <c r="R169" i="10"/>
  <c r="Q169" i="10"/>
  <c r="P169" i="10"/>
  <c r="O169" i="10"/>
  <c r="N169" i="10"/>
  <c r="M169" i="10"/>
  <c r="K169" i="10"/>
  <c r="R168" i="10"/>
  <c r="Q168" i="10"/>
  <c r="P168" i="10"/>
  <c r="O168" i="10"/>
  <c r="N168" i="10"/>
  <c r="M168" i="10"/>
  <c r="K168" i="10"/>
  <c r="R167" i="10"/>
  <c r="Q167" i="10"/>
  <c r="P167" i="10"/>
  <c r="O167" i="10"/>
  <c r="N167" i="10"/>
  <c r="M167" i="10"/>
  <c r="K167" i="10"/>
  <c r="R166" i="10"/>
  <c r="Q166" i="10"/>
  <c r="P166" i="10"/>
  <c r="O166" i="10"/>
  <c r="N166" i="10"/>
  <c r="M166" i="10"/>
  <c r="K166" i="10"/>
  <c r="R165" i="10"/>
  <c r="Q165" i="10"/>
  <c r="P165" i="10"/>
  <c r="O165" i="10"/>
  <c r="N165" i="10"/>
  <c r="M165" i="10"/>
  <c r="K165" i="10"/>
  <c r="R164" i="10"/>
  <c r="Q164" i="10"/>
  <c r="P164" i="10"/>
  <c r="O164" i="10"/>
  <c r="N164" i="10"/>
  <c r="M164" i="10"/>
  <c r="K164" i="10"/>
  <c r="R163" i="10"/>
  <c r="Q163" i="10"/>
  <c r="P163" i="10"/>
  <c r="O163" i="10"/>
  <c r="N163" i="10"/>
  <c r="M163" i="10"/>
  <c r="K163" i="10"/>
  <c r="R162" i="10"/>
  <c r="Q162" i="10"/>
  <c r="P162" i="10"/>
  <c r="O162" i="10"/>
  <c r="N162" i="10"/>
  <c r="M162" i="10"/>
  <c r="K162" i="10"/>
  <c r="R161" i="10"/>
  <c r="Q161" i="10"/>
  <c r="O161" i="10"/>
  <c r="N161" i="10"/>
  <c r="M161" i="10"/>
  <c r="K161" i="10"/>
  <c r="R160" i="10"/>
  <c r="Q160" i="10"/>
  <c r="P160" i="10"/>
  <c r="O160" i="10"/>
  <c r="N160" i="10"/>
  <c r="M160" i="10"/>
  <c r="K160" i="10"/>
  <c r="R159" i="10"/>
  <c r="Q159" i="10"/>
  <c r="P159" i="10"/>
  <c r="O159" i="10"/>
  <c r="N159" i="10"/>
  <c r="M159" i="10"/>
  <c r="K159" i="10"/>
  <c r="R158" i="10"/>
  <c r="Q158" i="10"/>
  <c r="P158" i="10"/>
  <c r="O158" i="10"/>
  <c r="N158" i="10"/>
  <c r="M158" i="10"/>
  <c r="K158" i="10"/>
  <c r="R157" i="10"/>
  <c r="Q157" i="10"/>
  <c r="P157" i="10"/>
  <c r="O157" i="10"/>
  <c r="N157" i="10"/>
  <c r="M157" i="10"/>
  <c r="K157" i="10"/>
  <c r="R156" i="10"/>
  <c r="Q156" i="10"/>
  <c r="P156" i="10"/>
  <c r="O156" i="10"/>
  <c r="N156" i="10"/>
  <c r="M156" i="10"/>
  <c r="K156" i="10"/>
  <c r="R155" i="10"/>
  <c r="Q155" i="10"/>
  <c r="P155" i="10"/>
  <c r="O155" i="10"/>
  <c r="N155" i="10"/>
  <c r="M155" i="10"/>
  <c r="K155" i="10"/>
  <c r="R154" i="10"/>
  <c r="Q154" i="10"/>
  <c r="P154" i="10"/>
  <c r="O154" i="10"/>
  <c r="N154" i="10"/>
  <c r="M154" i="10"/>
  <c r="R153" i="10"/>
  <c r="Q153" i="10"/>
  <c r="P153" i="10"/>
  <c r="O153" i="10"/>
  <c r="M153" i="10"/>
  <c r="K153" i="10"/>
  <c r="R152" i="10"/>
  <c r="Q152" i="10"/>
  <c r="P152" i="10"/>
  <c r="O152" i="10"/>
  <c r="N152" i="10"/>
  <c r="M152" i="10"/>
  <c r="K152" i="10"/>
  <c r="R151" i="10"/>
  <c r="Q151" i="10"/>
  <c r="P151" i="10"/>
  <c r="O151" i="10"/>
  <c r="N151" i="10"/>
  <c r="M151" i="10"/>
  <c r="K151" i="10"/>
  <c r="R150" i="10"/>
  <c r="Q150" i="10"/>
  <c r="P150" i="10"/>
  <c r="O150" i="10"/>
  <c r="N150" i="10"/>
  <c r="M150" i="10"/>
  <c r="K150" i="10"/>
  <c r="R149" i="10"/>
  <c r="Q149" i="10"/>
  <c r="P149" i="10"/>
  <c r="O149" i="10"/>
  <c r="N149" i="10"/>
  <c r="M149" i="10"/>
  <c r="K149" i="10"/>
  <c r="R148" i="10"/>
  <c r="Q148" i="10"/>
  <c r="P148" i="10"/>
  <c r="O148" i="10"/>
  <c r="N148" i="10"/>
  <c r="M148" i="10"/>
  <c r="K148" i="10"/>
  <c r="R147" i="10"/>
  <c r="Q147" i="10"/>
  <c r="P147" i="10"/>
  <c r="O147" i="10"/>
  <c r="N147" i="10"/>
  <c r="M147" i="10"/>
  <c r="K147" i="10"/>
  <c r="R146" i="10"/>
  <c r="Q146" i="10"/>
  <c r="P146" i="10"/>
  <c r="O146" i="10"/>
  <c r="N146" i="10"/>
  <c r="M146" i="10"/>
  <c r="K146" i="10"/>
  <c r="R145" i="10"/>
  <c r="Q145" i="10"/>
  <c r="P145" i="10"/>
  <c r="O145" i="10"/>
  <c r="N145" i="10"/>
  <c r="M145" i="10"/>
  <c r="K145" i="10"/>
  <c r="R144" i="10"/>
  <c r="Q144" i="10"/>
  <c r="P144" i="10"/>
  <c r="O144" i="10"/>
  <c r="N144" i="10"/>
  <c r="M144" i="10"/>
  <c r="K144" i="10"/>
  <c r="R143" i="10"/>
  <c r="Q143" i="10"/>
  <c r="P143" i="10"/>
  <c r="O143" i="10"/>
  <c r="N143" i="10"/>
  <c r="M143" i="10"/>
  <c r="K143" i="10"/>
  <c r="R142" i="10"/>
  <c r="Q142" i="10"/>
  <c r="P142" i="10"/>
  <c r="O142" i="10"/>
  <c r="N142" i="10"/>
  <c r="M142" i="10"/>
  <c r="K142" i="10"/>
  <c r="R141" i="10"/>
  <c r="Q141" i="10"/>
  <c r="P141" i="10"/>
  <c r="O141" i="10"/>
  <c r="N141" i="10"/>
  <c r="M141" i="10"/>
  <c r="K141" i="10"/>
  <c r="R140" i="10"/>
  <c r="Q140" i="10"/>
  <c r="M140" i="10"/>
  <c r="K140" i="10"/>
  <c r="R139" i="10"/>
  <c r="Q139" i="10"/>
  <c r="P139" i="10"/>
  <c r="O139" i="10"/>
  <c r="N139" i="10"/>
  <c r="M139" i="10"/>
  <c r="K139" i="10"/>
  <c r="R138" i="10"/>
  <c r="Q138" i="10"/>
  <c r="P138" i="10"/>
  <c r="O138" i="10"/>
  <c r="N138" i="10"/>
  <c r="M138" i="10"/>
  <c r="K138" i="10"/>
  <c r="K135" i="10"/>
  <c r="R134" i="10"/>
  <c r="Q134" i="10"/>
  <c r="P134" i="10"/>
  <c r="O134" i="10"/>
  <c r="N134" i="10"/>
  <c r="M134" i="10"/>
  <c r="K134" i="10"/>
  <c r="R133" i="10"/>
  <c r="Q133" i="10"/>
  <c r="P133" i="10"/>
  <c r="O133" i="10"/>
  <c r="N133" i="10"/>
  <c r="M133" i="10"/>
  <c r="K133" i="10"/>
  <c r="R132" i="10"/>
  <c r="Q132" i="10"/>
  <c r="P132" i="10"/>
  <c r="O132" i="10"/>
  <c r="N132" i="10"/>
  <c r="M132" i="10"/>
  <c r="K132" i="10"/>
  <c r="R131" i="10"/>
  <c r="Q131" i="10"/>
  <c r="P131" i="10"/>
  <c r="O131" i="10"/>
  <c r="N131" i="10"/>
  <c r="M131" i="10"/>
  <c r="K131" i="10"/>
  <c r="R130" i="10"/>
  <c r="Q130" i="10"/>
  <c r="P130" i="10"/>
  <c r="O130" i="10"/>
  <c r="N130" i="10"/>
  <c r="M130" i="10"/>
  <c r="K130" i="10"/>
  <c r="R129" i="10"/>
  <c r="Q129" i="10"/>
  <c r="P129" i="10"/>
  <c r="O129" i="10"/>
  <c r="N129" i="10"/>
  <c r="M129" i="10"/>
  <c r="K129" i="10"/>
  <c r="Q121" i="10"/>
  <c r="R120" i="10"/>
  <c r="Q120" i="10"/>
  <c r="P120" i="10"/>
  <c r="O120" i="10"/>
  <c r="N120" i="10"/>
  <c r="M120" i="10"/>
  <c r="K120" i="10"/>
  <c r="R119" i="10"/>
  <c r="Q119" i="10"/>
  <c r="P119" i="10"/>
  <c r="O119" i="10"/>
  <c r="N119" i="10"/>
  <c r="M119" i="10"/>
  <c r="K119" i="10"/>
  <c r="R118" i="10"/>
  <c r="Q118" i="10"/>
  <c r="P118" i="10"/>
  <c r="O118" i="10"/>
  <c r="N118" i="10"/>
  <c r="M118" i="10"/>
  <c r="K118" i="10"/>
  <c r="R117" i="10"/>
  <c r="Q117" i="10"/>
  <c r="P117" i="10"/>
  <c r="O117" i="10"/>
  <c r="N117" i="10"/>
  <c r="M117" i="10"/>
  <c r="K117" i="10"/>
  <c r="R116" i="10"/>
  <c r="Q116" i="10"/>
  <c r="P116" i="10"/>
  <c r="O116" i="10"/>
  <c r="N116" i="10"/>
  <c r="M116" i="10"/>
  <c r="K116" i="10"/>
  <c r="Q115" i="10"/>
  <c r="P115" i="10"/>
  <c r="O115" i="10"/>
  <c r="N115" i="10"/>
  <c r="M115" i="10"/>
  <c r="K115" i="10"/>
  <c r="Q114" i="10"/>
  <c r="P114" i="10"/>
  <c r="O114" i="10"/>
  <c r="N114" i="10"/>
  <c r="K114" i="10"/>
  <c r="R111" i="10"/>
  <c r="R110" i="10"/>
  <c r="Q110" i="10"/>
  <c r="P110" i="10"/>
  <c r="O110" i="10"/>
  <c r="N110" i="10"/>
  <c r="M110" i="10"/>
  <c r="K110" i="10"/>
  <c r="R109" i="10"/>
  <c r="Q109" i="10"/>
  <c r="P109" i="10"/>
  <c r="O109" i="10"/>
  <c r="N109" i="10"/>
  <c r="M109" i="10"/>
  <c r="K109" i="10"/>
  <c r="R106" i="10"/>
  <c r="R105" i="10"/>
  <c r="Q105" i="10"/>
  <c r="N105" i="10"/>
  <c r="M105" i="10"/>
  <c r="K105" i="10"/>
  <c r="R104" i="10"/>
  <c r="Q104" i="10"/>
  <c r="P104" i="10"/>
  <c r="O104" i="10"/>
  <c r="N104" i="10"/>
  <c r="M104" i="10"/>
  <c r="K104" i="10"/>
  <c r="R103" i="10"/>
  <c r="Q103" i="10"/>
  <c r="P103" i="10"/>
  <c r="O103" i="10"/>
  <c r="N103" i="10"/>
  <c r="M103" i="10"/>
  <c r="K103" i="10"/>
  <c r="R102" i="10"/>
  <c r="Q102" i="10"/>
  <c r="P102" i="10"/>
  <c r="O102" i="10"/>
  <c r="N102" i="10"/>
  <c r="M102" i="10"/>
  <c r="K102" i="10"/>
  <c r="R101" i="10"/>
  <c r="Q101" i="10"/>
  <c r="P101" i="10"/>
  <c r="O101" i="10"/>
  <c r="N101" i="10"/>
  <c r="M101" i="10"/>
  <c r="K101" i="10"/>
  <c r="R100" i="10"/>
  <c r="Q100" i="10"/>
  <c r="P100" i="10"/>
  <c r="O100" i="10"/>
  <c r="N100" i="10"/>
  <c r="M100" i="10"/>
  <c r="K100" i="10"/>
  <c r="R99" i="10"/>
  <c r="Q99" i="10"/>
  <c r="P99" i="10"/>
  <c r="O99" i="10"/>
  <c r="N99" i="10"/>
  <c r="M99" i="10"/>
  <c r="K99" i="10"/>
  <c r="R98" i="10"/>
  <c r="Q98" i="10"/>
  <c r="P98" i="10"/>
  <c r="O98" i="10"/>
  <c r="N98" i="10"/>
  <c r="M98" i="10"/>
  <c r="K98" i="10"/>
  <c r="R97" i="10"/>
  <c r="Q97" i="10"/>
  <c r="P97" i="10"/>
  <c r="O97" i="10"/>
  <c r="N97" i="10"/>
  <c r="M97" i="10"/>
  <c r="K97" i="10"/>
  <c r="R96" i="10"/>
  <c r="Q96" i="10"/>
  <c r="P96" i="10"/>
  <c r="O96" i="10"/>
  <c r="N96" i="10"/>
  <c r="M96" i="10"/>
  <c r="K96" i="10"/>
  <c r="R95" i="10"/>
  <c r="Q95" i="10"/>
  <c r="P95" i="10"/>
  <c r="O95" i="10"/>
  <c r="N95" i="10"/>
  <c r="M95" i="10"/>
  <c r="K95" i="10"/>
  <c r="R94" i="10"/>
  <c r="Q94" i="10"/>
  <c r="P94" i="10"/>
  <c r="O94" i="10"/>
  <c r="N94" i="10"/>
  <c r="M94" i="10"/>
  <c r="K94" i="10"/>
  <c r="R93" i="10"/>
  <c r="Q93" i="10"/>
  <c r="P93" i="10"/>
  <c r="O93" i="10"/>
  <c r="N93" i="10"/>
  <c r="M93" i="10"/>
  <c r="K93" i="10"/>
  <c r="R92" i="10"/>
  <c r="Q92" i="10"/>
  <c r="P92" i="10"/>
  <c r="O92" i="10"/>
  <c r="N92" i="10"/>
  <c r="M92" i="10"/>
  <c r="K92" i="10"/>
  <c r="R91" i="10"/>
  <c r="Q91" i="10"/>
  <c r="P91" i="10"/>
  <c r="O91" i="10"/>
  <c r="N91" i="10"/>
  <c r="M91" i="10"/>
  <c r="K91" i="10"/>
  <c r="R90" i="10"/>
  <c r="Q90" i="10"/>
  <c r="P90" i="10"/>
  <c r="O90" i="10"/>
  <c r="N90" i="10"/>
  <c r="M90" i="10"/>
  <c r="K90" i="10"/>
  <c r="R89" i="10"/>
  <c r="P89" i="10"/>
  <c r="O89" i="10"/>
  <c r="M89" i="10"/>
  <c r="K89" i="10"/>
  <c r="R88" i="10"/>
  <c r="Q88" i="10"/>
  <c r="P88" i="10"/>
  <c r="O88" i="10"/>
  <c r="N88" i="10"/>
  <c r="M88" i="10"/>
  <c r="K88" i="10"/>
  <c r="R87" i="10"/>
  <c r="Q87" i="10"/>
  <c r="P87" i="10"/>
  <c r="O87" i="10"/>
  <c r="N87" i="10"/>
  <c r="M87" i="10"/>
  <c r="K87" i="10"/>
  <c r="R86" i="10"/>
  <c r="Q86" i="10"/>
  <c r="P86" i="10"/>
  <c r="O86" i="10"/>
  <c r="N86" i="10"/>
  <c r="M86" i="10"/>
  <c r="K86" i="10"/>
  <c r="R85" i="10"/>
  <c r="Q85" i="10"/>
  <c r="P85" i="10"/>
  <c r="O85" i="10"/>
  <c r="N85" i="10"/>
  <c r="M85" i="10"/>
  <c r="K85" i="10"/>
  <c r="R84" i="10"/>
  <c r="Q84" i="10"/>
  <c r="P84" i="10"/>
  <c r="O84" i="10"/>
  <c r="N84" i="10"/>
  <c r="M84" i="10"/>
  <c r="K84" i="10"/>
  <c r="Q81" i="10"/>
  <c r="P81" i="10"/>
  <c r="O81" i="10"/>
  <c r="N81" i="10"/>
  <c r="M81" i="10"/>
  <c r="K81" i="10"/>
  <c r="R80" i="10"/>
  <c r="Q80" i="10"/>
  <c r="P80" i="10"/>
  <c r="O80" i="10"/>
  <c r="N80" i="10"/>
  <c r="M80" i="10"/>
  <c r="K80" i="10"/>
  <c r="R79" i="10"/>
  <c r="Q79" i="10"/>
  <c r="P79" i="10"/>
  <c r="O79" i="10"/>
  <c r="N79" i="10"/>
  <c r="M79" i="10"/>
  <c r="K79" i="10"/>
  <c r="Q76" i="10"/>
  <c r="P76" i="10"/>
  <c r="O76" i="10"/>
  <c r="N76" i="10"/>
  <c r="R75" i="10"/>
  <c r="Q75" i="10"/>
  <c r="P75" i="10"/>
  <c r="O75" i="10"/>
  <c r="N75" i="10"/>
  <c r="M75" i="10"/>
  <c r="K75" i="10"/>
  <c r="R74" i="10"/>
  <c r="Q74" i="10"/>
  <c r="P74" i="10"/>
  <c r="O74" i="10"/>
  <c r="N74" i="10"/>
  <c r="M74" i="10"/>
  <c r="K74" i="10"/>
  <c r="R73" i="10"/>
  <c r="Q73" i="10"/>
  <c r="P73" i="10"/>
  <c r="O73" i="10"/>
  <c r="N73" i="10"/>
  <c r="M73" i="10"/>
  <c r="K73" i="10"/>
  <c r="R72" i="10"/>
  <c r="Q72" i="10"/>
  <c r="P72" i="10"/>
  <c r="O72" i="10"/>
  <c r="N72" i="10"/>
  <c r="M72" i="10"/>
  <c r="K72" i="10"/>
  <c r="R69" i="10"/>
  <c r="Q69" i="10"/>
  <c r="P69" i="10"/>
  <c r="O69" i="10"/>
  <c r="N69" i="10"/>
  <c r="M69" i="10"/>
  <c r="K69" i="10"/>
  <c r="R68" i="10"/>
  <c r="Q68" i="10"/>
  <c r="P68" i="10"/>
  <c r="O68" i="10"/>
  <c r="N68" i="10"/>
  <c r="M68" i="10"/>
  <c r="K68" i="10"/>
  <c r="R62" i="10"/>
  <c r="R61" i="10"/>
  <c r="Q61" i="10"/>
  <c r="P61" i="10"/>
  <c r="O61" i="10"/>
  <c r="N61" i="10"/>
  <c r="M61" i="10"/>
  <c r="K61" i="10"/>
  <c r="R58" i="10"/>
  <c r="Q58" i="10"/>
  <c r="O58" i="10"/>
  <c r="K58" i="10"/>
  <c r="R57" i="10"/>
  <c r="Q57" i="10"/>
  <c r="P57" i="10"/>
  <c r="O57" i="10"/>
  <c r="K57" i="10"/>
  <c r="R56" i="10"/>
  <c r="Q56" i="10"/>
  <c r="O56" i="10"/>
  <c r="N56" i="10"/>
  <c r="M56" i="10"/>
  <c r="K56" i="10"/>
  <c r="R55" i="10"/>
  <c r="Q55" i="10"/>
  <c r="P55" i="10"/>
  <c r="O55" i="10"/>
  <c r="N55" i="10"/>
  <c r="M55" i="10"/>
  <c r="K55" i="10"/>
  <c r="R54" i="10"/>
  <c r="Q54" i="10"/>
  <c r="P54" i="10"/>
  <c r="O54" i="10"/>
  <c r="N54" i="10"/>
  <c r="M54" i="10"/>
  <c r="K54" i="10"/>
  <c r="R53" i="10"/>
  <c r="Q53" i="10"/>
  <c r="P53" i="10"/>
  <c r="O53" i="10"/>
  <c r="N53" i="10"/>
  <c r="M53" i="10"/>
  <c r="K53" i="10"/>
  <c r="R52" i="10"/>
  <c r="Q52" i="10"/>
  <c r="P52" i="10"/>
  <c r="O52" i="10"/>
  <c r="N52" i="10"/>
  <c r="M52" i="10"/>
  <c r="K52" i="10"/>
  <c r="R51" i="10"/>
  <c r="Q51" i="10"/>
  <c r="P51" i="10"/>
  <c r="O51" i="10"/>
  <c r="N51" i="10"/>
  <c r="M51" i="10"/>
  <c r="K51" i="10"/>
  <c r="R50" i="10"/>
  <c r="Q50" i="10"/>
  <c r="P50" i="10"/>
  <c r="O50" i="10"/>
  <c r="N50" i="10"/>
  <c r="M50" i="10"/>
  <c r="K50" i="10"/>
  <c r="R49" i="10"/>
  <c r="Q49" i="10"/>
  <c r="P49" i="10"/>
  <c r="O49" i="10"/>
  <c r="N49" i="10"/>
  <c r="M49" i="10"/>
  <c r="K49" i="10"/>
  <c r="R48" i="10"/>
  <c r="Q48" i="10"/>
  <c r="P48" i="10"/>
  <c r="O48" i="10"/>
  <c r="N48" i="10"/>
  <c r="M48" i="10"/>
  <c r="K48" i="10"/>
  <c r="R43" i="10"/>
  <c r="Q43" i="10"/>
  <c r="P43" i="10"/>
  <c r="O43" i="10"/>
  <c r="N43" i="10"/>
  <c r="M43" i="10"/>
  <c r="K43" i="10"/>
  <c r="R42" i="10"/>
  <c r="Q42" i="10"/>
  <c r="P42" i="10"/>
  <c r="O42" i="10"/>
  <c r="N42" i="10"/>
  <c r="M42" i="10"/>
  <c r="K42" i="10"/>
  <c r="R41" i="10"/>
  <c r="Q41" i="10"/>
  <c r="P41" i="10"/>
  <c r="O41" i="10"/>
  <c r="N41" i="10"/>
  <c r="M41" i="10"/>
  <c r="K41" i="10"/>
  <c r="R40" i="10"/>
  <c r="M40" i="10"/>
  <c r="K40" i="10"/>
  <c r="R39" i="10"/>
  <c r="M39" i="10"/>
  <c r="K39" i="10"/>
  <c r="P32" i="10"/>
  <c r="R26" i="10"/>
  <c r="R25" i="10"/>
  <c r="O25" i="10"/>
  <c r="R18" i="10"/>
  <c r="Q18" i="10"/>
  <c r="P18" i="10"/>
  <c r="O18" i="10"/>
  <c r="N18" i="10"/>
  <c r="M18" i="10"/>
  <c r="K18" i="10"/>
  <c r="Q17" i="10"/>
  <c r="O17" i="10"/>
  <c r="R16" i="10"/>
  <c r="Q16" i="10"/>
  <c r="P16" i="10"/>
  <c r="O16" i="10"/>
  <c r="N16" i="10"/>
  <c r="M16" i="10"/>
  <c r="K16" i="10"/>
  <c r="H67" i="10"/>
  <c r="N89" i="15" l="1"/>
  <c r="N90" i="7"/>
  <c r="P89" i="15"/>
  <c r="N90" i="5"/>
  <c r="M135" i="10"/>
  <c r="M45" i="10"/>
  <c r="I142" i="15"/>
  <c r="I18" i="9"/>
  <c r="L17" i="10" s="1"/>
  <c r="L222" i="10"/>
  <c r="K242" i="15"/>
  <c r="J243" i="3"/>
  <c r="N86" i="3"/>
  <c r="J107" i="3"/>
  <c r="J123" i="3" s="1"/>
  <c r="K85" i="15"/>
  <c r="I85" i="15" s="1"/>
  <c r="I163" i="15"/>
  <c r="L135" i="10"/>
  <c r="I174" i="15"/>
  <c r="K150" i="15"/>
  <c r="J25" i="3"/>
  <c r="M150" i="16"/>
  <c r="K150" i="16"/>
  <c r="I13" i="3"/>
  <c r="K12" i="10" s="1"/>
  <c r="L24" i="10"/>
  <c r="I145" i="16"/>
  <c r="I174" i="16"/>
  <c r="I162" i="16"/>
  <c r="I117" i="15"/>
  <c r="I171" i="16"/>
  <c r="I162" i="15"/>
  <c r="I163" i="16"/>
  <c r="I146" i="16"/>
  <c r="K107" i="3"/>
  <c r="K106" i="16" s="1"/>
  <c r="K85" i="16"/>
  <c r="I85" i="16" s="1"/>
  <c r="K122" i="6"/>
  <c r="O121" i="16" s="1"/>
  <c r="O114" i="16"/>
  <c r="K122" i="9"/>
  <c r="L121" i="16" s="1"/>
  <c r="L114" i="16"/>
  <c r="K116" i="2"/>
  <c r="R115" i="16" s="1"/>
  <c r="R115" i="15"/>
  <c r="K122" i="7"/>
  <c r="N121" i="16" s="1"/>
  <c r="N114" i="16"/>
  <c r="K122" i="3"/>
  <c r="K121" i="16" s="1"/>
  <c r="K117" i="16"/>
  <c r="I117" i="16" s="1"/>
  <c r="K122" i="4"/>
  <c r="Q121" i="16" s="1"/>
  <c r="Q114" i="16"/>
  <c r="K122" i="5"/>
  <c r="P121" i="16" s="1"/>
  <c r="P115" i="16"/>
  <c r="K209" i="3"/>
  <c r="K205" i="16"/>
  <c r="J27" i="9"/>
  <c r="L26" i="15" s="1"/>
  <c r="L218" i="15"/>
  <c r="J18" i="5"/>
  <c r="P76" i="15"/>
  <c r="J13" i="5"/>
  <c r="P12" i="15" s="1"/>
  <c r="P62" i="15"/>
  <c r="J25" i="8"/>
  <c r="M24" i="15" s="1"/>
  <c r="M197" i="15"/>
  <c r="I161" i="15"/>
  <c r="K148" i="9"/>
  <c r="L147" i="16" s="1"/>
  <c r="L147" i="15"/>
  <c r="K219" i="9"/>
  <c r="L214" i="16"/>
  <c r="K77" i="5"/>
  <c r="P74" i="16"/>
  <c r="I74" i="16" s="1"/>
  <c r="K63" i="5"/>
  <c r="P61" i="16"/>
  <c r="K198" i="8"/>
  <c r="M142" i="16"/>
  <c r="I142" i="16" s="1"/>
  <c r="I161" i="16"/>
  <c r="L150" i="16"/>
  <c r="L150" i="15"/>
  <c r="K219" i="3"/>
  <c r="K213" i="16"/>
  <c r="I213" i="16" s="1"/>
  <c r="J13" i="9"/>
  <c r="L12" i="15" s="1"/>
  <c r="L62" i="15"/>
  <c r="J26" i="9"/>
  <c r="L25" i="15" s="1"/>
  <c r="L208" i="15"/>
  <c r="J13" i="4"/>
  <c r="Q12" i="15" s="1"/>
  <c r="Q62" i="15"/>
  <c r="K63" i="6"/>
  <c r="O62" i="16" s="1"/>
  <c r="O61" i="16"/>
  <c r="J18" i="7"/>
  <c r="N76" i="15"/>
  <c r="J18" i="8"/>
  <c r="M17" i="15" s="1"/>
  <c r="M76" i="15"/>
  <c r="I177" i="15"/>
  <c r="K198" i="5"/>
  <c r="P140" i="16"/>
  <c r="I140" i="16" s="1"/>
  <c r="K63" i="9"/>
  <c r="L61" i="16"/>
  <c r="K209" i="9"/>
  <c r="L205" i="16"/>
  <c r="K63" i="4"/>
  <c r="Q61" i="16"/>
  <c r="K77" i="7"/>
  <c r="N75" i="16"/>
  <c r="K77" i="8"/>
  <c r="M75" i="16"/>
  <c r="I177" i="16"/>
  <c r="K59" i="3"/>
  <c r="K58" i="16" s="1"/>
  <c r="K55" i="16"/>
  <c r="I55" i="16" s="1"/>
  <c r="K219" i="4"/>
  <c r="Q214" i="16"/>
  <c r="J27" i="7"/>
  <c r="N26" i="15" s="1"/>
  <c r="N218" i="15"/>
  <c r="I146" i="15"/>
  <c r="K148" i="6"/>
  <c r="O147" i="16" s="1"/>
  <c r="O147" i="15"/>
  <c r="K59" i="9"/>
  <c r="L58" i="16" s="1"/>
  <c r="L51" i="16"/>
  <c r="I51" i="16" s="1"/>
  <c r="J27" i="4"/>
  <c r="Q26" i="15" s="1"/>
  <c r="Q218" i="15"/>
  <c r="K198" i="4"/>
  <c r="K219" i="6"/>
  <c r="O214" i="16"/>
  <c r="K219" i="7"/>
  <c r="N214" i="16"/>
  <c r="I158" i="15"/>
  <c r="K148" i="7"/>
  <c r="N147" i="16" s="1"/>
  <c r="N147" i="15"/>
  <c r="K151" i="6"/>
  <c r="O150" i="16" s="1"/>
  <c r="O150" i="15"/>
  <c r="K136" i="3"/>
  <c r="K130" i="16"/>
  <c r="J24" i="4"/>
  <c r="Q23" i="15" s="1"/>
  <c r="Q135" i="15"/>
  <c r="K219" i="5"/>
  <c r="P218" i="16" s="1"/>
  <c r="P214" i="16"/>
  <c r="I171" i="15"/>
  <c r="I145" i="15"/>
  <c r="K77" i="3"/>
  <c r="K75" i="16"/>
  <c r="K136" i="4"/>
  <c r="Q130" i="16"/>
  <c r="K59" i="4"/>
  <c r="Q58" i="16" s="1"/>
  <c r="Q53" i="16"/>
  <c r="I53" i="16" s="1"/>
  <c r="J27" i="5"/>
  <c r="P26" i="15" s="1"/>
  <c r="P218" i="15"/>
  <c r="K59" i="7"/>
  <c r="N58" i="16" s="1"/>
  <c r="N54" i="16"/>
  <c r="I54" i="16" s="1"/>
  <c r="J25" i="5"/>
  <c r="P197" i="15"/>
  <c r="J25" i="4"/>
  <c r="Q197" i="15"/>
  <c r="K122" i="15"/>
  <c r="K106" i="15"/>
  <c r="K17" i="15"/>
  <c r="K76" i="15"/>
  <c r="K25" i="15"/>
  <c r="K208" i="15"/>
  <c r="K26" i="15"/>
  <c r="K218" i="15"/>
  <c r="K155" i="3"/>
  <c r="K154" i="15"/>
  <c r="I154" i="15" s="1"/>
  <c r="K23" i="15"/>
  <c r="K135" i="15"/>
  <c r="R115" i="10"/>
  <c r="R135" i="10"/>
  <c r="I122" i="2"/>
  <c r="I123" i="2" s="1"/>
  <c r="J115" i="2"/>
  <c r="R114" i="15" s="1"/>
  <c r="I114" i="15" s="1"/>
  <c r="I33" i="2"/>
  <c r="R32" i="10" s="1"/>
  <c r="R242" i="15"/>
  <c r="I13" i="8"/>
  <c r="M12" i="10" s="1"/>
  <c r="I122" i="8"/>
  <c r="I123" i="8" s="1"/>
  <c r="I125" i="8" s="1"/>
  <c r="J116" i="8"/>
  <c r="M242" i="10"/>
  <c r="M242" i="15"/>
  <c r="N89" i="10"/>
  <c r="N135" i="10"/>
  <c r="I33" i="7"/>
  <c r="N32" i="10" s="1"/>
  <c r="N242" i="15"/>
  <c r="N208" i="10"/>
  <c r="N153" i="10"/>
  <c r="J154" i="7"/>
  <c r="J198" i="7" s="1"/>
  <c r="N198" i="7" s="1"/>
  <c r="J107" i="7"/>
  <c r="I107" i="7"/>
  <c r="N106" i="10" s="1"/>
  <c r="J12" i="7"/>
  <c r="J65" i="7"/>
  <c r="N64" i="15" s="1"/>
  <c r="J13" i="6"/>
  <c r="J65" i="6"/>
  <c r="O64" i="15" s="1"/>
  <c r="J198" i="6"/>
  <c r="N198" i="6" s="1"/>
  <c r="I33" i="6"/>
  <c r="O32" i="10" s="1"/>
  <c r="O242" i="15"/>
  <c r="J27" i="6"/>
  <c r="O26" i="15" s="1"/>
  <c r="I107" i="6"/>
  <c r="O106" i="10" s="1"/>
  <c r="J90" i="6"/>
  <c r="O222" i="10"/>
  <c r="H222" i="10" s="1"/>
  <c r="O105" i="10"/>
  <c r="H105" i="10" s="1"/>
  <c r="J106" i="6"/>
  <c r="I28" i="5"/>
  <c r="P27" i="10" s="1"/>
  <c r="K90" i="5"/>
  <c r="P105" i="10"/>
  <c r="J106" i="5"/>
  <c r="J107" i="5" s="1"/>
  <c r="I107" i="5"/>
  <c r="P106" i="10" s="1"/>
  <c r="P56" i="10"/>
  <c r="J57" i="5"/>
  <c r="P56" i="15" s="1"/>
  <c r="I56" i="15" s="1"/>
  <c r="K135" i="5"/>
  <c r="J136" i="5"/>
  <c r="I136" i="5"/>
  <c r="I24" i="5" s="1"/>
  <c r="P23" i="10" s="1"/>
  <c r="J33" i="5"/>
  <c r="P32" i="15" s="1"/>
  <c r="P13" i="17" s="1"/>
  <c r="P18" i="17" s="1"/>
  <c r="Q89" i="10"/>
  <c r="J90" i="4"/>
  <c r="Q135" i="10"/>
  <c r="I33" i="4"/>
  <c r="Q32" i="10" s="1"/>
  <c r="Q242" i="15"/>
  <c r="J12" i="4"/>
  <c r="J65" i="4"/>
  <c r="Q64" i="15" s="1"/>
  <c r="J12" i="9"/>
  <c r="J65" i="9"/>
  <c r="L64" i="15" s="1"/>
  <c r="L226" i="10"/>
  <c r="J198" i="9"/>
  <c r="N198" i="9" s="1"/>
  <c r="L150" i="10"/>
  <c r="H150" i="10" s="1"/>
  <c r="I33" i="9"/>
  <c r="L32" i="10" s="1"/>
  <c r="L242" i="15"/>
  <c r="L242" i="10"/>
  <c r="L147" i="10"/>
  <c r="I107" i="9"/>
  <c r="L106" i="10" s="1"/>
  <c r="J90" i="9"/>
  <c r="K226" i="10"/>
  <c r="K154" i="10"/>
  <c r="H154" i="10" s="1"/>
  <c r="I198" i="3"/>
  <c r="K197" i="10" s="1"/>
  <c r="K243" i="3"/>
  <c r="K64" i="15"/>
  <c r="K218" i="10"/>
  <c r="K242" i="10"/>
  <c r="F41" i="11"/>
  <c r="F29" i="11" s="1"/>
  <c r="I40" i="6" s="1"/>
  <c r="O39" i="10" s="1"/>
  <c r="B37" i="11"/>
  <c r="C37" i="11"/>
  <c r="I26" i="11"/>
  <c r="R197" i="10"/>
  <c r="Q242" i="10"/>
  <c r="L208" i="10"/>
  <c r="L62" i="10"/>
  <c r="L58" i="10"/>
  <c r="G33" i="11"/>
  <c r="I33" i="11" s="1"/>
  <c r="K76" i="10"/>
  <c r="N140" i="10"/>
  <c r="I198" i="6"/>
  <c r="P140" i="10"/>
  <c r="L197" i="10"/>
  <c r="I11" i="3"/>
  <c r="I14" i="3" s="1"/>
  <c r="I65" i="3"/>
  <c r="K64" i="10" s="1"/>
  <c r="K45" i="10"/>
  <c r="K121" i="10"/>
  <c r="I123" i="3"/>
  <c r="I26" i="3"/>
  <c r="K25" i="10" s="1"/>
  <c r="R45" i="10"/>
  <c r="R218" i="10"/>
  <c r="I18" i="2"/>
  <c r="R17" i="10" s="1"/>
  <c r="I65" i="2"/>
  <c r="R64" i="10" s="1"/>
  <c r="H53" i="10"/>
  <c r="I13" i="4"/>
  <c r="Q12" i="10" s="1"/>
  <c r="Q62" i="10"/>
  <c r="I25" i="4"/>
  <c r="Q197" i="10"/>
  <c r="I28" i="4"/>
  <c r="Q27" i="10" s="1"/>
  <c r="I107" i="4"/>
  <c r="Q106" i="10" s="1"/>
  <c r="Q226" i="10"/>
  <c r="I27" i="4"/>
  <c r="Q26" i="10" s="1"/>
  <c r="I13" i="5"/>
  <c r="P12" i="10" s="1"/>
  <c r="P62" i="10"/>
  <c r="P197" i="10"/>
  <c r="I25" i="5"/>
  <c r="P135" i="10"/>
  <c r="P121" i="10"/>
  <c r="P218" i="10"/>
  <c r="P58" i="10"/>
  <c r="I26" i="5"/>
  <c r="P25" i="10" s="1"/>
  <c r="I25" i="8"/>
  <c r="M24" i="10" s="1"/>
  <c r="I14" i="8"/>
  <c r="M208" i="10"/>
  <c r="I65" i="8"/>
  <c r="M64" i="10" s="1"/>
  <c r="N197" i="10"/>
  <c r="I25" i="7"/>
  <c r="I28" i="7"/>
  <c r="N27" i="10" s="1"/>
  <c r="I59" i="7"/>
  <c r="I65" i="7" s="1"/>
  <c r="N64" i="10" s="1"/>
  <c r="H50" i="10"/>
  <c r="H55" i="10"/>
  <c r="H56" i="10"/>
  <c r="N121" i="10"/>
  <c r="H54" i="10"/>
  <c r="N62" i="10"/>
  <c r="H49" i="10"/>
  <c r="O121" i="10"/>
  <c r="H205" i="10"/>
  <c r="I13" i="6"/>
  <c r="O12" i="10" s="1"/>
  <c r="I27" i="6"/>
  <c r="O26" i="10" s="1"/>
  <c r="H144" i="10"/>
  <c r="O218" i="10"/>
  <c r="O135" i="10"/>
  <c r="M197" i="10"/>
  <c r="M11" i="10"/>
  <c r="M58" i="10"/>
  <c r="H74" i="10"/>
  <c r="H79" i="10"/>
  <c r="H84" i="10"/>
  <c r="H85" i="10"/>
  <c r="H87" i="10"/>
  <c r="H91" i="10"/>
  <c r="H95" i="10"/>
  <c r="H98" i="10"/>
  <c r="H99" i="10"/>
  <c r="H110" i="10"/>
  <c r="H115" i="10"/>
  <c r="H116" i="10"/>
  <c r="H118" i="10"/>
  <c r="H129" i="10"/>
  <c r="H134" i="10"/>
  <c r="H138" i="10"/>
  <c r="H142" i="10"/>
  <c r="H143" i="10"/>
  <c r="H146" i="10"/>
  <c r="H148" i="10"/>
  <c r="H149" i="10"/>
  <c r="H151" i="10"/>
  <c r="H152" i="10"/>
  <c r="H153" i="10"/>
  <c r="H158" i="10"/>
  <c r="H160" i="10"/>
  <c r="H164" i="10"/>
  <c r="H166" i="10"/>
  <c r="H170" i="10"/>
  <c r="H172" i="10"/>
  <c r="H173" i="10"/>
  <c r="H174" i="10"/>
  <c r="H175" i="10"/>
  <c r="H178" i="10"/>
  <c r="H179" i="10"/>
  <c r="H181" i="10"/>
  <c r="H182" i="10"/>
  <c r="H184" i="10"/>
  <c r="H188" i="10"/>
  <c r="H190" i="10"/>
  <c r="H194" i="10"/>
  <c r="H196" i="10"/>
  <c r="H203" i="10"/>
  <c r="H211" i="10"/>
  <c r="H214" i="10"/>
  <c r="H215" i="10"/>
  <c r="H217" i="10"/>
  <c r="H233" i="10"/>
  <c r="H80" i="10"/>
  <c r="H86" i="10"/>
  <c r="H97" i="10"/>
  <c r="H101" i="10"/>
  <c r="H104" i="10"/>
  <c r="H42" i="10"/>
  <c r="H240" i="10"/>
  <c r="M218" i="10"/>
  <c r="M76" i="10"/>
  <c r="B27" i="11"/>
  <c r="E27" i="11"/>
  <c r="D37" i="11"/>
  <c r="D27" i="11"/>
  <c r="E37" i="11"/>
  <c r="I27" i="9"/>
  <c r="L26" i="10" s="1"/>
  <c r="H81" i="10"/>
  <c r="H93" i="10"/>
  <c r="H162" i="10"/>
  <c r="H192" i="10"/>
  <c r="H225" i="10"/>
  <c r="H75" i="10"/>
  <c r="H90" i="10"/>
  <c r="H114" i="10"/>
  <c r="H168" i="10"/>
  <c r="H186" i="10"/>
  <c r="H195" i="10"/>
  <c r="H204" i="10"/>
  <c r="H213" i="10"/>
  <c r="H231" i="10"/>
  <c r="H238" i="10"/>
  <c r="H68" i="10"/>
  <c r="H92" i="10"/>
  <c r="H119" i="10"/>
  <c r="H131" i="10"/>
  <c r="H155" i="10"/>
  <c r="H161" i="10"/>
  <c r="H167" i="10"/>
  <c r="H176" i="10"/>
  <c r="H185" i="10"/>
  <c r="H191" i="10"/>
  <c r="H200" i="10"/>
  <c r="H206" i="10"/>
  <c r="H212" i="10"/>
  <c r="H221" i="10"/>
  <c r="H72" i="10"/>
  <c r="H102" i="10"/>
  <c r="H111" i="10"/>
  <c r="H120" i="10"/>
  <c r="H132" i="10"/>
  <c r="H207" i="10"/>
  <c r="H16" i="10"/>
  <c r="H23" i="10"/>
  <c r="H43" i="10"/>
  <c r="H239" i="10"/>
  <c r="H57" i="10"/>
  <c r="H117" i="10"/>
  <c r="H147" i="10"/>
  <c r="H159" i="10"/>
  <c r="H177" i="10"/>
  <c r="H189" i="10"/>
  <c r="H216" i="10"/>
  <c r="H234" i="10"/>
  <c r="H17" i="10"/>
  <c r="H52" i="10"/>
  <c r="H61" i="10"/>
  <c r="H73" i="10"/>
  <c r="H88" i="10"/>
  <c r="H94" i="10"/>
  <c r="H100" i="10"/>
  <c r="H103" i="10"/>
  <c r="H109" i="10"/>
  <c r="H130" i="10"/>
  <c r="H133" i="10"/>
  <c r="H139" i="10"/>
  <c r="H145" i="10"/>
  <c r="H157" i="10"/>
  <c r="H163" i="10"/>
  <c r="H169" i="10"/>
  <c r="H187" i="10"/>
  <c r="H193" i="10"/>
  <c r="H202" i="10"/>
  <c r="H208" i="10"/>
  <c r="H232" i="10"/>
  <c r="H69" i="10"/>
  <c r="H141" i="10"/>
  <c r="H165" i="10"/>
  <c r="H183" i="10"/>
  <c r="H241" i="10"/>
  <c r="H51" i="10"/>
  <c r="H96" i="10"/>
  <c r="H156" i="10"/>
  <c r="H171" i="10"/>
  <c r="H180" i="10"/>
  <c r="H201" i="10"/>
  <c r="H41" i="10"/>
  <c r="H89" i="10" l="1"/>
  <c r="Q89" i="15"/>
  <c r="N90" i="4"/>
  <c r="I123" i="5"/>
  <c r="I125" i="5" s="1"/>
  <c r="O89" i="15"/>
  <c r="N90" i="6"/>
  <c r="M115" i="15"/>
  <c r="N116" i="8"/>
  <c r="H226" i="10"/>
  <c r="I25" i="15"/>
  <c r="L89" i="15"/>
  <c r="I89" i="15" s="1"/>
  <c r="N90" i="9"/>
  <c r="H32" i="10"/>
  <c r="J125" i="3"/>
  <c r="J127" i="3" s="1"/>
  <c r="J229" i="3" s="1"/>
  <c r="J21" i="3"/>
  <c r="J22" i="3" s="1"/>
  <c r="J31" i="3" s="1"/>
  <c r="J35" i="3" s="1"/>
  <c r="J33" i="3"/>
  <c r="N243" i="3"/>
  <c r="P122" i="10"/>
  <c r="I123" i="6"/>
  <c r="I21" i="6" s="1"/>
  <c r="I22" i="6" s="1"/>
  <c r="K65" i="9"/>
  <c r="L64" i="16" s="1"/>
  <c r="K12" i="9"/>
  <c r="L11" i="16" s="1"/>
  <c r="H135" i="10"/>
  <c r="I208" i="15"/>
  <c r="I123" i="9"/>
  <c r="I21" i="9" s="1"/>
  <c r="I22" i="9" s="1"/>
  <c r="Q24" i="10"/>
  <c r="I25" i="3"/>
  <c r="K24" i="10" s="1"/>
  <c r="K65" i="7"/>
  <c r="N64" i="16" s="1"/>
  <c r="K12" i="3"/>
  <c r="K14" i="3" s="1"/>
  <c r="K13" i="16" s="1"/>
  <c r="K65" i="3"/>
  <c r="K64" i="16" s="1"/>
  <c r="P24" i="10"/>
  <c r="N24" i="10"/>
  <c r="K65" i="4"/>
  <c r="Q64" i="16" s="1"/>
  <c r="Q24" i="15"/>
  <c r="K12" i="4"/>
  <c r="Q11" i="16" s="1"/>
  <c r="K65" i="6"/>
  <c r="O64" i="16" s="1"/>
  <c r="I115" i="15"/>
  <c r="I150" i="15"/>
  <c r="I62" i="15"/>
  <c r="K12" i="7"/>
  <c r="N11" i="16" s="1"/>
  <c r="I150" i="16"/>
  <c r="I214" i="16"/>
  <c r="I242" i="15"/>
  <c r="K198" i="6"/>
  <c r="K25" i="6" s="1"/>
  <c r="J123" i="5"/>
  <c r="P122" i="15" s="1"/>
  <c r="P106" i="15"/>
  <c r="K107" i="7"/>
  <c r="N89" i="16"/>
  <c r="K106" i="5"/>
  <c r="P105" i="16" s="1"/>
  <c r="P105" i="15"/>
  <c r="P89" i="16"/>
  <c r="K21" i="15"/>
  <c r="K123" i="3"/>
  <c r="K125" i="3" s="1"/>
  <c r="K106" i="6"/>
  <c r="O105" i="16" s="1"/>
  <c r="O105" i="15"/>
  <c r="J123" i="7"/>
  <c r="N122" i="15" s="1"/>
  <c r="N106" i="15"/>
  <c r="J24" i="5"/>
  <c r="P23" i="15" s="1"/>
  <c r="I23" i="15" s="1"/>
  <c r="P135" i="15"/>
  <c r="I135" i="15" s="1"/>
  <c r="K154" i="7"/>
  <c r="N153" i="15"/>
  <c r="I153" i="15" s="1"/>
  <c r="I218" i="15"/>
  <c r="K136" i="5"/>
  <c r="P134" i="16"/>
  <c r="I134" i="16" s="1"/>
  <c r="J14" i="6"/>
  <c r="O12" i="15"/>
  <c r="I12" i="15" s="1"/>
  <c r="I26" i="15"/>
  <c r="K13" i="4"/>
  <c r="Q12" i="16" s="1"/>
  <c r="Q62" i="16"/>
  <c r="K18" i="5"/>
  <c r="P76" i="16"/>
  <c r="J14" i="9"/>
  <c r="L11" i="15"/>
  <c r="K13" i="6"/>
  <c r="J14" i="7"/>
  <c r="N11" i="15"/>
  <c r="K24" i="4"/>
  <c r="Q23" i="16" s="1"/>
  <c r="Q135" i="16"/>
  <c r="K25" i="4"/>
  <c r="Q197" i="16"/>
  <c r="K26" i="9"/>
  <c r="L25" i="16" s="1"/>
  <c r="L208" i="16"/>
  <c r="K27" i="9"/>
  <c r="L26" i="16" s="1"/>
  <c r="L218" i="16"/>
  <c r="I76" i="15"/>
  <c r="I75" i="16"/>
  <c r="I61" i="16"/>
  <c r="I147" i="15"/>
  <c r="P17" i="15"/>
  <c r="K27" i="6"/>
  <c r="O26" i="16" s="1"/>
  <c r="O218" i="16"/>
  <c r="J14" i="4"/>
  <c r="Q11" i="15"/>
  <c r="K27" i="5"/>
  <c r="P26" i="16" s="1"/>
  <c r="K18" i="3"/>
  <c r="K17" i="16" s="1"/>
  <c r="K76" i="16"/>
  <c r="I130" i="16"/>
  <c r="K18" i="8"/>
  <c r="M17" i="16" s="1"/>
  <c r="M76" i="16"/>
  <c r="K13" i="9"/>
  <c r="L12" i="16" s="1"/>
  <c r="L62" i="16"/>
  <c r="N17" i="15"/>
  <c r="K25" i="8"/>
  <c r="M24" i="16" s="1"/>
  <c r="M197" i="16"/>
  <c r="I147" i="16"/>
  <c r="K198" i="9"/>
  <c r="K33" i="5"/>
  <c r="P32" i="16" s="1"/>
  <c r="P242" i="16"/>
  <c r="K24" i="3"/>
  <c r="K23" i="16" s="1"/>
  <c r="K135" i="16"/>
  <c r="K198" i="3"/>
  <c r="K154" i="16"/>
  <c r="I154" i="16" s="1"/>
  <c r="K27" i="4"/>
  <c r="Q26" i="16" s="1"/>
  <c r="Q218" i="16"/>
  <c r="K18" i="7"/>
  <c r="N76" i="16"/>
  <c r="K27" i="3"/>
  <c r="K26" i="16" s="1"/>
  <c r="K218" i="16"/>
  <c r="K13" i="5"/>
  <c r="P12" i="16" s="1"/>
  <c r="P62" i="16"/>
  <c r="I205" i="16"/>
  <c r="K33" i="3"/>
  <c r="K32" i="16" s="1"/>
  <c r="K242" i="16"/>
  <c r="K27" i="7"/>
  <c r="N26" i="16" s="1"/>
  <c r="N218" i="16"/>
  <c r="K25" i="5"/>
  <c r="P197" i="16"/>
  <c r="K26" i="3"/>
  <c r="K25" i="16" s="1"/>
  <c r="I25" i="16" s="1"/>
  <c r="K208" i="16"/>
  <c r="J25" i="7"/>
  <c r="N197" i="15"/>
  <c r="J25" i="6"/>
  <c r="O197" i="15"/>
  <c r="J25" i="9"/>
  <c r="L197" i="15"/>
  <c r="P24" i="15"/>
  <c r="K13" i="15"/>
  <c r="K11" i="15"/>
  <c r="K24" i="15"/>
  <c r="K197" i="15"/>
  <c r="K115" i="2"/>
  <c r="J122" i="2"/>
  <c r="R121" i="10"/>
  <c r="J33" i="2"/>
  <c r="R32" i="15" s="1"/>
  <c r="R13" i="17" s="1"/>
  <c r="R18" i="17" s="1"/>
  <c r="I21" i="8"/>
  <c r="I22" i="8" s="1"/>
  <c r="H76" i="10"/>
  <c r="J33" i="8"/>
  <c r="M32" i="15" s="1"/>
  <c r="M13" i="17" s="1"/>
  <c r="M18" i="17" s="1"/>
  <c r="K116" i="8"/>
  <c r="J122" i="8"/>
  <c r="I123" i="7"/>
  <c r="J33" i="7"/>
  <c r="N32" i="15" s="1"/>
  <c r="N13" i="17" s="1"/>
  <c r="N18" i="17" s="1"/>
  <c r="H106" i="10"/>
  <c r="J33" i="6"/>
  <c r="O32" i="15" s="1"/>
  <c r="O13" i="17" s="1"/>
  <c r="O18" i="17" s="1"/>
  <c r="K90" i="6"/>
  <c r="J107" i="6"/>
  <c r="H25" i="10"/>
  <c r="K57" i="5"/>
  <c r="J59" i="5"/>
  <c r="P58" i="15" s="1"/>
  <c r="I58" i="15" s="1"/>
  <c r="H62" i="10"/>
  <c r="J107" i="4"/>
  <c r="J33" i="4"/>
  <c r="Q32" i="15" s="1"/>
  <c r="Q13" i="17" s="1"/>
  <c r="Q18" i="17" s="1"/>
  <c r="J33" i="9"/>
  <c r="L32" i="15" s="1"/>
  <c r="L13" i="17" s="1"/>
  <c r="L18" i="17" s="1"/>
  <c r="J107" i="9"/>
  <c r="K10" i="10"/>
  <c r="H242" i="10"/>
  <c r="I46" i="6"/>
  <c r="I11" i="6" s="1"/>
  <c r="O10" i="10" s="1"/>
  <c r="F30" i="11"/>
  <c r="B43" i="11"/>
  <c r="I41" i="9" s="1"/>
  <c r="L40" i="10" s="1"/>
  <c r="B41" i="11"/>
  <c r="B29" i="11" s="1"/>
  <c r="C43" i="11"/>
  <c r="I41" i="7" s="1"/>
  <c r="N40" i="10" s="1"/>
  <c r="C41" i="11"/>
  <c r="C29" i="11" s="1"/>
  <c r="E43" i="11"/>
  <c r="I41" i="4" s="1"/>
  <c r="Q40" i="10" s="1"/>
  <c r="E41" i="11"/>
  <c r="E29" i="11" s="1"/>
  <c r="D43" i="11"/>
  <c r="I41" i="5" s="1"/>
  <c r="P40" i="10" s="1"/>
  <c r="D41" i="11"/>
  <c r="D29" i="11" s="1"/>
  <c r="I40" i="5" s="1"/>
  <c r="H218" i="10"/>
  <c r="I125" i="9"/>
  <c r="L124" i="10" s="1"/>
  <c r="H140" i="10"/>
  <c r="O197" i="10"/>
  <c r="H197" i="10" s="1"/>
  <c r="I25" i="6"/>
  <c r="K122" i="10"/>
  <c r="I125" i="3"/>
  <c r="I21" i="3"/>
  <c r="I14" i="2"/>
  <c r="R10" i="10"/>
  <c r="I125" i="2"/>
  <c r="I21" i="2"/>
  <c r="R122" i="10"/>
  <c r="H26" i="10"/>
  <c r="I123" i="4"/>
  <c r="P124" i="10"/>
  <c r="H12" i="10"/>
  <c r="I31" i="8"/>
  <c r="I35" i="8" s="1"/>
  <c r="I127" i="8"/>
  <c r="I229" i="8" s="1"/>
  <c r="I237" i="8" s="1"/>
  <c r="I245" i="8" s="1"/>
  <c r="I12" i="7"/>
  <c r="N58" i="10"/>
  <c r="H58" i="10" s="1"/>
  <c r="M121" i="10"/>
  <c r="H121" i="10" s="1"/>
  <c r="M13" i="10"/>
  <c r="K13" i="10"/>
  <c r="I21" i="5" l="1"/>
  <c r="I22" i="5" s="1"/>
  <c r="P21" i="10" s="1"/>
  <c r="O122" i="10"/>
  <c r="L122" i="10"/>
  <c r="J245" i="3"/>
  <c r="N245" i="3" s="1"/>
  <c r="N229" i="3"/>
  <c r="K124" i="15"/>
  <c r="K13" i="17"/>
  <c r="K18" i="17" s="1"/>
  <c r="I18" i="17" s="1"/>
  <c r="K32" i="15"/>
  <c r="I32" i="15" s="1"/>
  <c r="I13" i="17" s="1"/>
  <c r="P20" i="10"/>
  <c r="I125" i="6"/>
  <c r="O124" i="10" s="1"/>
  <c r="J21" i="7"/>
  <c r="J125" i="7"/>
  <c r="N124" i="15" s="1"/>
  <c r="K11" i="16"/>
  <c r="K14" i="7"/>
  <c r="O24" i="10"/>
  <c r="H24" i="10" s="1"/>
  <c r="I31" i="6"/>
  <c r="I208" i="16"/>
  <c r="L24" i="15"/>
  <c r="O24" i="16"/>
  <c r="O24" i="15"/>
  <c r="N24" i="15"/>
  <c r="Q24" i="16"/>
  <c r="K20" i="15"/>
  <c r="O197" i="16"/>
  <c r="I76" i="16"/>
  <c r="I17" i="15"/>
  <c r="J125" i="5"/>
  <c r="P124" i="15" s="1"/>
  <c r="J21" i="5"/>
  <c r="K14" i="4"/>
  <c r="Q13" i="16" s="1"/>
  <c r="J123" i="2"/>
  <c r="R122" i="15" s="1"/>
  <c r="R121" i="15"/>
  <c r="K122" i="8"/>
  <c r="M115" i="16"/>
  <c r="I115" i="16" s="1"/>
  <c r="I105" i="15"/>
  <c r="K122" i="2"/>
  <c r="R114" i="16"/>
  <c r="I114" i="16" s="1"/>
  <c r="K107" i="4"/>
  <c r="Q89" i="16"/>
  <c r="J123" i="6"/>
  <c r="O122" i="15" s="1"/>
  <c r="O106" i="15"/>
  <c r="I105" i="16"/>
  <c r="K107" i="9"/>
  <c r="L89" i="16"/>
  <c r="K107" i="6"/>
  <c r="O89" i="16"/>
  <c r="K21" i="3"/>
  <c r="K122" i="16"/>
  <c r="J123" i="4"/>
  <c r="Q122" i="15" s="1"/>
  <c r="Q106" i="15"/>
  <c r="K123" i="7"/>
  <c r="N106" i="16"/>
  <c r="J123" i="9"/>
  <c r="L122" i="15" s="1"/>
  <c r="L106" i="15"/>
  <c r="J123" i="8"/>
  <c r="M122" i="15" s="1"/>
  <c r="M121" i="15"/>
  <c r="I121" i="15" s="1"/>
  <c r="K107" i="5"/>
  <c r="K25" i="9"/>
  <c r="L197" i="16"/>
  <c r="L13" i="15"/>
  <c r="O13" i="15"/>
  <c r="K33" i="9"/>
  <c r="L32" i="16" s="1"/>
  <c r="L242" i="16"/>
  <c r="K33" i="6"/>
  <c r="O32" i="16" s="1"/>
  <c r="O242" i="16"/>
  <c r="K33" i="2"/>
  <c r="R32" i="16" s="1"/>
  <c r="R242" i="16"/>
  <c r="K127" i="3"/>
  <c r="K124" i="16"/>
  <c r="K59" i="5"/>
  <c r="P58" i="16" s="1"/>
  <c r="I58" i="16" s="1"/>
  <c r="P56" i="16"/>
  <c r="I56" i="16" s="1"/>
  <c r="N13" i="16"/>
  <c r="K25" i="3"/>
  <c r="K197" i="16"/>
  <c r="P17" i="16"/>
  <c r="K33" i="7"/>
  <c r="N32" i="16" s="1"/>
  <c r="N242" i="16"/>
  <c r="I197" i="15"/>
  <c r="I26" i="16"/>
  <c r="N13" i="15"/>
  <c r="J127" i="7"/>
  <c r="K14" i="9"/>
  <c r="K14" i="6"/>
  <c r="O12" i="16"/>
  <c r="I12" i="16" s="1"/>
  <c r="K198" i="7"/>
  <c r="N153" i="16"/>
  <c r="I153" i="16" s="1"/>
  <c r="Q13" i="15"/>
  <c r="K24" i="5"/>
  <c r="P23" i="16" s="1"/>
  <c r="I23" i="16" s="1"/>
  <c r="P135" i="16"/>
  <c r="I135" i="16" s="1"/>
  <c r="K33" i="4"/>
  <c r="Q32" i="16" s="1"/>
  <c r="Q242" i="16"/>
  <c r="I218" i="16"/>
  <c r="K33" i="8"/>
  <c r="M32" i="16" s="1"/>
  <c r="M242" i="16"/>
  <c r="P24" i="16"/>
  <c r="N17" i="16"/>
  <c r="I62" i="16"/>
  <c r="K34" i="15"/>
  <c r="K15" i="17" s="1"/>
  <c r="K126" i="15"/>
  <c r="J21" i="2"/>
  <c r="I21" i="7"/>
  <c r="I22" i="7" s="1"/>
  <c r="I125" i="7"/>
  <c r="N122" i="10"/>
  <c r="J12" i="5"/>
  <c r="J65" i="5"/>
  <c r="I14" i="6"/>
  <c r="O13" i="10" s="1"/>
  <c r="O45" i="10"/>
  <c r="I65" i="6"/>
  <c r="O64" i="10" s="1"/>
  <c r="D30" i="11"/>
  <c r="G29" i="11"/>
  <c r="H35" i="11" s="1"/>
  <c r="I40" i="4"/>
  <c r="E30" i="11"/>
  <c r="I40" i="7"/>
  <c r="N39" i="10" s="1"/>
  <c r="C30" i="11"/>
  <c r="I40" i="9"/>
  <c r="B30" i="11"/>
  <c r="P39" i="10"/>
  <c r="I46" i="5"/>
  <c r="H40" i="10"/>
  <c r="L21" i="10"/>
  <c r="L20" i="10"/>
  <c r="K20" i="10"/>
  <c r="I22" i="3"/>
  <c r="I127" i="3"/>
  <c r="K124" i="10"/>
  <c r="R13" i="10"/>
  <c r="I22" i="2"/>
  <c r="R21" i="10" s="1"/>
  <c r="R20" i="10"/>
  <c r="R124" i="10"/>
  <c r="I127" i="2"/>
  <c r="I125" i="4"/>
  <c r="I21" i="4"/>
  <c r="I22" i="4" s="1"/>
  <c r="Q122" i="10"/>
  <c r="N11" i="10"/>
  <c r="H11" i="10" s="1"/>
  <c r="I14" i="7"/>
  <c r="O20" i="10"/>
  <c r="O21" i="10"/>
  <c r="M122" i="10"/>
  <c r="I31" i="7" l="1"/>
  <c r="J125" i="6"/>
  <c r="O124" i="15" s="1"/>
  <c r="K21" i="17"/>
  <c r="K23" i="17" s="1"/>
  <c r="O19" i="17"/>
  <c r="N19" i="17"/>
  <c r="L19" i="17"/>
  <c r="Q19" i="17"/>
  <c r="P19" i="17"/>
  <c r="P20" i="15"/>
  <c r="J22" i="5"/>
  <c r="P21" i="15" s="1"/>
  <c r="N20" i="15"/>
  <c r="J22" i="7"/>
  <c r="H122" i="10"/>
  <c r="J21" i="4"/>
  <c r="J22" i="4" s="1"/>
  <c r="J31" i="4" s="1"/>
  <c r="J125" i="9"/>
  <c r="J127" i="9" s="1"/>
  <c r="I24" i="15"/>
  <c r="L24" i="16"/>
  <c r="I17" i="16"/>
  <c r="J21" i="9"/>
  <c r="J22" i="9" s="1"/>
  <c r="J31" i="9" s="1"/>
  <c r="J125" i="4"/>
  <c r="Q124" i="15" s="1"/>
  <c r="J21" i="8"/>
  <c r="M20" i="15" s="1"/>
  <c r="I122" i="15"/>
  <c r="J125" i="8"/>
  <c r="J127" i="8" s="1"/>
  <c r="I89" i="16"/>
  <c r="J21" i="6"/>
  <c r="J125" i="2"/>
  <c r="J127" i="2" s="1"/>
  <c r="K65" i="5"/>
  <c r="P64" i="16" s="1"/>
  <c r="I64" i="16" s="1"/>
  <c r="I242" i="16"/>
  <c r="K123" i="6"/>
  <c r="O106" i="16"/>
  <c r="N122" i="16"/>
  <c r="K125" i="7"/>
  <c r="K21" i="7"/>
  <c r="K22" i="7" s="1"/>
  <c r="K123" i="5"/>
  <c r="P106" i="16"/>
  <c r="K123" i="9"/>
  <c r="L106" i="16"/>
  <c r="K123" i="2"/>
  <c r="R121" i="16"/>
  <c r="K123" i="8"/>
  <c r="M121" i="16"/>
  <c r="J22" i="2"/>
  <c r="R20" i="15"/>
  <c r="I106" i="15"/>
  <c r="K22" i="3"/>
  <c r="K21" i="16" s="1"/>
  <c r="K20" i="16"/>
  <c r="K123" i="4"/>
  <c r="Q106" i="16"/>
  <c r="O13" i="16"/>
  <c r="L13" i="16"/>
  <c r="K229" i="3"/>
  <c r="K126" i="16"/>
  <c r="K12" i="5"/>
  <c r="K24" i="16"/>
  <c r="I32" i="16"/>
  <c r="J127" i="5"/>
  <c r="P64" i="15"/>
  <c r="I64" i="15" s="1"/>
  <c r="J14" i="5"/>
  <c r="P11" i="15"/>
  <c r="I11" i="15" s="1"/>
  <c r="K25" i="7"/>
  <c r="N197" i="16"/>
  <c r="I197" i="16" s="1"/>
  <c r="J229" i="7"/>
  <c r="N126" i="15"/>
  <c r="K30" i="15"/>
  <c r="K11" i="17" s="1"/>
  <c r="K244" i="15"/>
  <c r="K228" i="15"/>
  <c r="N20" i="10"/>
  <c r="N21" i="10"/>
  <c r="N124" i="10"/>
  <c r="I127" i="7"/>
  <c r="I127" i="6"/>
  <c r="O126" i="10" s="1"/>
  <c r="G30" i="11"/>
  <c r="L39" i="10"/>
  <c r="I46" i="9"/>
  <c r="P45" i="10"/>
  <c r="I11" i="5"/>
  <c r="I65" i="5"/>
  <c r="Q39" i="10"/>
  <c r="I46" i="4"/>
  <c r="K126" i="10"/>
  <c r="I229" i="3"/>
  <c r="K21" i="10"/>
  <c r="I31" i="3"/>
  <c r="R126" i="10"/>
  <c r="I229" i="2"/>
  <c r="I31" i="2"/>
  <c r="Q124" i="10"/>
  <c r="Q20" i="10"/>
  <c r="N13" i="10"/>
  <c r="M20" i="10"/>
  <c r="M124" i="10"/>
  <c r="Q20" i="15" l="1"/>
  <c r="J127" i="6"/>
  <c r="J229" i="6" s="1"/>
  <c r="N229" i="6" s="1"/>
  <c r="N229" i="7"/>
  <c r="J237" i="7"/>
  <c r="J22" i="8"/>
  <c r="J31" i="8" s="1"/>
  <c r="I19" i="17"/>
  <c r="J31" i="7"/>
  <c r="N21" i="15"/>
  <c r="O20" i="15"/>
  <c r="J22" i="6"/>
  <c r="J31" i="6" s="1"/>
  <c r="J31" i="5"/>
  <c r="P30" i="15" s="1"/>
  <c r="P11" i="17" s="1"/>
  <c r="J127" i="4"/>
  <c r="J229" i="4" s="1"/>
  <c r="N229" i="4" s="1"/>
  <c r="L20" i="15"/>
  <c r="L124" i="15"/>
  <c r="N24" i="16"/>
  <c r="I24" i="16" s="1"/>
  <c r="K31" i="7"/>
  <c r="R124" i="15"/>
  <c r="M124" i="15"/>
  <c r="M122" i="16"/>
  <c r="K125" i="8"/>
  <c r="K21" i="8"/>
  <c r="P122" i="16"/>
  <c r="K21" i="5"/>
  <c r="K125" i="5"/>
  <c r="K31" i="3"/>
  <c r="K35" i="3" s="1"/>
  <c r="K34" i="16" s="1"/>
  <c r="J31" i="2"/>
  <c r="R21" i="15"/>
  <c r="K127" i="7"/>
  <c r="N124" i="16"/>
  <c r="N20" i="16"/>
  <c r="N21" i="16"/>
  <c r="Q21" i="15"/>
  <c r="I121" i="16"/>
  <c r="R122" i="16"/>
  <c r="K125" i="2"/>
  <c r="K21" i="2"/>
  <c r="Q122" i="16"/>
  <c r="K21" i="4"/>
  <c r="K22" i="4" s="1"/>
  <c r="K31" i="4" s="1"/>
  <c r="K125" i="4"/>
  <c r="I106" i="16"/>
  <c r="O122" i="16"/>
  <c r="K21" i="6"/>
  <c r="K22" i="6" s="1"/>
  <c r="K31" i="6" s="1"/>
  <c r="K125" i="6"/>
  <c r="M21" i="15"/>
  <c r="L122" i="16"/>
  <c r="K125" i="9"/>
  <c r="K21" i="9"/>
  <c r="K22" i="9" s="1"/>
  <c r="K31" i="9" s="1"/>
  <c r="L21" i="15"/>
  <c r="N228" i="15"/>
  <c r="J229" i="8"/>
  <c r="N229" i="8" s="1"/>
  <c r="M126" i="15"/>
  <c r="K245" i="3"/>
  <c r="K244" i="16" s="1"/>
  <c r="K228" i="16"/>
  <c r="K14" i="5"/>
  <c r="P11" i="16"/>
  <c r="I11" i="16" s="1"/>
  <c r="J229" i="5"/>
  <c r="N229" i="5" s="1"/>
  <c r="P126" i="15"/>
  <c r="P13" i="15"/>
  <c r="I13" i="15" s="1"/>
  <c r="J229" i="2"/>
  <c r="R126" i="15"/>
  <c r="J229" i="9"/>
  <c r="N229" i="9" s="1"/>
  <c r="L126" i="15"/>
  <c r="N126" i="10"/>
  <c r="I229" i="7"/>
  <c r="I229" i="6"/>
  <c r="I237" i="6" s="1"/>
  <c r="I11" i="4"/>
  <c r="Q45" i="10"/>
  <c r="I65" i="4"/>
  <c r="P64" i="10"/>
  <c r="I127" i="5"/>
  <c r="I14" i="5"/>
  <c r="I31" i="5" s="1"/>
  <c r="P10" i="10"/>
  <c r="I65" i="9"/>
  <c r="L45" i="10"/>
  <c r="I11" i="9"/>
  <c r="H39" i="10"/>
  <c r="H124" i="10"/>
  <c r="I35" i="3"/>
  <c r="K34" i="10" s="1"/>
  <c r="K30" i="10"/>
  <c r="I245" i="3"/>
  <c r="K244" i="10" s="1"/>
  <c r="K228" i="10"/>
  <c r="R30" i="10"/>
  <c r="I35" i="2"/>
  <c r="R34" i="10" s="1"/>
  <c r="I237" i="2"/>
  <c r="R228" i="10"/>
  <c r="Q21" i="10"/>
  <c r="H20" i="10"/>
  <c r="I35" i="7"/>
  <c r="N34" i="10" s="1"/>
  <c r="N30" i="10"/>
  <c r="I35" i="6"/>
  <c r="O34" i="10" s="1"/>
  <c r="O30" i="10"/>
  <c r="M126" i="10"/>
  <c r="M21" i="10"/>
  <c r="Q126" i="15" l="1"/>
  <c r="O126" i="15"/>
  <c r="I126" i="15" s="1"/>
  <c r="I20" i="15"/>
  <c r="J245" i="7"/>
  <c r="N245" i="7" s="1"/>
  <c r="N237" i="7"/>
  <c r="N236" i="15"/>
  <c r="I236" i="15" s="1"/>
  <c r="N244" i="15"/>
  <c r="O21" i="15"/>
  <c r="I21" i="15" s="1"/>
  <c r="J35" i="7"/>
  <c r="N34" i="15" s="1"/>
  <c r="N15" i="17" s="1"/>
  <c r="N30" i="15"/>
  <c r="N11" i="17" s="1"/>
  <c r="I124" i="15"/>
  <c r="K30" i="16"/>
  <c r="J35" i="5"/>
  <c r="P34" i="15" s="1"/>
  <c r="P15" i="17" s="1"/>
  <c r="Q20" i="16"/>
  <c r="J35" i="8"/>
  <c r="M34" i="15" s="1"/>
  <c r="M15" i="17" s="1"/>
  <c r="M30" i="15"/>
  <c r="M11" i="17" s="1"/>
  <c r="K22" i="2"/>
  <c r="R20" i="16"/>
  <c r="J35" i="6"/>
  <c r="O34" i="15" s="1"/>
  <c r="O15" i="17" s="1"/>
  <c r="O30" i="15"/>
  <c r="O11" i="17" s="1"/>
  <c r="P20" i="16"/>
  <c r="K22" i="5"/>
  <c r="P21" i="16" s="1"/>
  <c r="K127" i="6"/>
  <c r="O124" i="16"/>
  <c r="K127" i="2"/>
  <c r="R124" i="16"/>
  <c r="N30" i="16"/>
  <c r="L30" i="15"/>
  <c r="L11" i="17" s="1"/>
  <c r="J35" i="9"/>
  <c r="L34" i="15" s="1"/>
  <c r="L15" i="17" s="1"/>
  <c r="O20" i="16"/>
  <c r="I122" i="16"/>
  <c r="K22" i="8"/>
  <c r="M20" i="16"/>
  <c r="K229" i="7"/>
  <c r="K237" i="7" s="1"/>
  <c r="N126" i="16"/>
  <c r="M124" i="16"/>
  <c r="K127" i="8"/>
  <c r="L20" i="16"/>
  <c r="J35" i="4"/>
  <c r="Q34" i="15" s="1"/>
  <c r="Q15" i="17" s="1"/>
  <c r="Q30" i="15"/>
  <c r="Q11" i="17" s="1"/>
  <c r="P124" i="16"/>
  <c r="K127" i="5"/>
  <c r="K127" i="9"/>
  <c r="L124" i="16"/>
  <c r="K127" i="4"/>
  <c r="Q124" i="16"/>
  <c r="R30" i="15"/>
  <c r="J35" i="2"/>
  <c r="R34" i="15" s="1"/>
  <c r="R15" i="17" s="1"/>
  <c r="J245" i="2"/>
  <c r="R244" i="15" s="1"/>
  <c r="R228" i="15"/>
  <c r="P13" i="16"/>
  <c r="I13" i="16" s="1"/>
  <c r="J245" i="8"/>
  <c r="M228" i="15"/>
  <c r="Q228" i="15"/>
  <c r="J245" i="4"/>
  <c r="J245" i="6"/>
  <c r="O228" i="15"/>
  <c r="J245" i="9"/>
  <c r="N245" i="9" s="1"/>
  <c r="L228" i="15"/>
  <c r="J245" i="5"/>
  <c r="P228" i="15"/>
  <c r="I237" i="7"/>
  <c r="N228" i="10"/>
  <c r="O228" i="10"/>
  <c r="H45" i="10"/>
  <c r="Q64" i="10"/>
  <c r="I127" i="4"/>
  <c r="I14" i="9"/>
  <c r="I31" i="9" s="1"/>
  <c r="L10" i="10"/>
  <c r="P13" i="10"/>
  <c r="P126" i="10"/>
  <c r="I229" i="5"/>
  <c r="L64" i="10"/>
  <c r="I127" i="9"/>
  <c r="Q10" i="10"/>
  <c r="I14" i="4"/>
  <c r="I31" i="4" s="1"/>
  <c r="K36" i="10"/>
  <c r="I245" i="2"/>
  <c r="R244" i="10" s="1"/>
  <c r="R36" i="10" s="1"/>
  <c r="R236" i="10"/>
  <c r="H21" i="10"/>
  <c r="I245" i="6"/>
  <c r="O244" i="10" s="1"/>
  <c r="O36" i="10" s="1"/>
  <c r="O236" i="10"/>
  <c r="M228" i="10"/>
  <c r="M34" i="10"/>
  <c r="M30" i="10"/>
  <c r="K245" i="7" l="1"/>
  <c r="N244" i="16" s="1"/>
  <c r="N236" i="16"/>
  <c r="I236" i="16" s="1"/>
  <c r="M244" i="15"/>
  <c r="N245" i="8"/>
  <c r="P244" i="15"/>
  <c r="N245" i="5"/>
  <c r="O244" i="15"/>
  <c r="N245" i="6"/>
  <c r="Q244" i="15"/>
  <c r="N245" i="4"/>
  <c r="L244" i="15"/>
  <c r="R21" i="17"/>
  <c r="R29" i="17"/>
  <c r="Q21" i="17"/>
  <c r="Q23" i="17" s="1"/>
  <c r="P21" i="17"/>
  <c r="P23" i="17" s="1"/>
  <c r="O21" i="17"/>
  <c r="O23" i="17" s="1"/>
  <c r="L21" i="17"/>
  <c r="L23" i="17" s="1"/>
  <c r="M21" i="17"/>
  <c r="M23" i="17" s="1"/>
  <c r="H64" i="10"/>
  <c r="N21" i="17"/>
  <c r="N23" i="17" s="1"/>
  <c r="K31" i="5"/>
  <c r="P30" i="16" s="1"/>
  <c r="I34" i="15"/>
  <c r="N228" i="16"/>
  <c r="I30" i="15"/>
  <c r="I11" i="17" s="1"/>
  <c r="I20" i="16"/>
  <c r="P126" i="16"/>
  <c r="K229" i="5"/>
  <c r="L21" i="16"/>
  <c r="K31" i="8"/>
  <c r="M21" i="16"/>
  <c r="R126" i="16"/>
  <c r="K229" i="2"/>
  <c r="K31" i="2"/>
  <c r="R21" i="16"/>
  <c r="K35" i="7"/>
  <c r="N34" i="16" s="1"/>
  <c r="O21" i="16"/>
  <c r="K229" i="6"/>
  <c r="O126" i="16"/>
  <c r="K229" i="4"/>
  <c r="Q126" i="16"/>
  <c r="I124" i="16"/>
  <c r="K229" i="8"/>
  <c r="M126" i="16"/>
  <c r="K229" i="9"/>
  <c r="L126" i="16"/>
  <c r="Q21" i="16"/>
  <c r="I228" i="15"/>
  <c r="N236" i="10"/>
  <c r="I245" i="7"/>
  <c r="N244" i="10" s="1"/>
  <c r="N36" i="10" s="1"/>
  <c r="H10" i="10"/>
  <c r="I35" i="5"/>
  <c r="P34" i="10" s="1"/>
  <c r="P30" i="10"/>
  <c r="I237" i="5"/>
  <c r="P228" i="10"/>
  <c r="Q13" i="10"/>
  <c r="L13" i="10"/>
  <c r="L126" i="10"/>
  <c r="I229" i="9"/>
  <c r="I229" i="4"/>
  <c r="Q126" i="10"/>
  <c r="M244" i="10"/>
  <c r="M36" i="10" s="1"/>
  <c r="M236" i="10"/>
  <c r="I244" i="15" l="1"/>
  <c r="O27" i="17"/>
  <c r="O29" i="17" s="1"/>
  <c r="N27" i="17"/>
  <c r="N29" i="17" s="1"/>
  <c r="L27" i="17"/>
  <c r="L29" i="17" s="1"/>
  <c r="Q27" i="17"/>
  <c r="Q29" i="17" s="1"/>
  <c r="P27" i="17"/>
  <c r="P29" i="17" s="1"/>
  <c r="R23" i="17"/>
  <c r="I6" i="13"/>
  <c r="I15" i="17"/>
  <c r="I21" i="17" s="1"/>
  <c r="K35" i="5"/>
  <c r="P34" i="16" s="1"/>
  <c r="L30" i="16"/>
  <c r="K35" i="9"/>
  <c r="L34" i="16" s="1"/>
  <c r="Q228" i="16"/>
  <c r="K245" i="4"/>
  <c r="Q244" i="16" s="1"/>
  <c r="K245" i="2"/>
  <c r="R244" i="16" s="1"/>
  <c r="R228" i="16"/>
  <c r="K35" i="2"/>
  <c r="R34" i="16" s="1"/>
  <c r="R30" i="16"/>
  <c r="M228" i="16"/>
  <c r="K245" i="8"/>
  <c r="M244" i="16" s="1"/>
  <c r="K245" i="6"/>
  <c r="O244" i="16" s="1"/>
  <c r="O228" i="16"/>
  <c r="I21" i="16"/>
  <c r="K245" i="5"/>
  <c r="P244" i="16" s="1"/>
  <c r="P228" i="16"/>
  <c r="Q30" i="16"/>
  <c r="K35" i="4"/>
  <c r="Q34" i="16" s="1"/>
  <c r="I126" i="16"/>
  <c r="K245" i="9"/>
  <c r="L244" i="16" s="1"/>
  <c r="L228" i="16"/>
  <c r="O30" i="16"/>
  <c r="K35" i="6"/>
  <c r="O34" i="16" s="1"/>
  <c r="K35" i="8"/>
  <c r="M34" i="16" s="1"/>
  <c r="M30" i="16"/>
  <c r="H13" i="10"/>
  <c r="H126" i="10"/>
  <c r="I35" i="9"/>
  <c r="L34" i="10" s="1"/>
  <c r="L30" i="10"/>
  <c r="I35" i="4"/>
  <c r="Q34" i="10" s="1"/>
  <c r="Q30" i="10"/>
  <c r="Q228" i="10"/>
  <c r="I237" i="4"/>
  <c r="P236" i="10"/>
  <c r="I245" i="5"/>
  <c r="P244" i="10" s="1"/>
  <c r="P36" i="10" s="1"/>
  <c r="I237" i="9"/>
  <c r="L228" i="10"/>
  <c r="I34" i="16" l="1"/>
  <c r="I244" i="16"/>
  <c r="I228" i="16"/>
  <c r="I30" i="16"/>
  <c r="H228" i="10"/>
  <c r="H30" i="10"/>
  <c r="I9" i="13" s="1"/>
  <c r="I245" i="9"/>
  <c r="L244" i="10" s="1"/>
  <c r="L236" i="10"/>
  <c r="H34" i="10"/>
  <c r="Q236" i="10"/>
  <c r="I245" i="4"/>
  <c r="Q244" i="10" s="1"/>
  <c r="Q36" i="10" s="1"/>
  <c r="H244" i="10" l="1"/>
  <c r="H36" i="10" s="1"/>
  <c r="H236" i="10"/>
  <c r="L36" i="10"/>
  <c r="L34" i="14" l="1"/>
  <c r="L61" i="14"/>
  <c r="L197" i="14"/>
  <c r="L49" i="14"/>
  <c r="L190" i="14"/>
  <c r="L143" i="14"/>
  <c r="L32" i="14"/>
  <c r="L54" i="14"/>
  <c r="L211" i="14"/>
  <c r="L95" i="14"/>
  <c r="L88" i="14"/>
  <c r="L158" i="14"/>
  <c r="L55" i="14"/>
  <c r="L87" i="14"/>
  <c r="L75" i="14"/>
  <c r="L85" i="14"/>
  <c r="L242" i="14"/>
  <c r="L121" i="14"/>
  <c r="L89" i="14"/>
  <c r="L207" i="14"/>
  <c r="L239" i="14"/>
  <c r="L114" i="14"/>
  <c r="L39" i="14"/>
  <c r="L45" i="14"/>
  <c r="L187" i="14"/>
  <c r="L126" i="14"/>
  <c r="L68" i="14"/>
  <c r="L189" i="14"/>
  <c r="L216" i="14"/>
  <c r="L196" i="14"/>
  <c r="L92" i="14"/>
  <c r="L84" i="14"/>
  <c r="L163" i="14"/>
  <c r="L116" i="14"/>
  <c r="L226" i="14"/>
  <c r="L217" i="14"/>
  <c r="L180" i="14"/>
  <c r="L218" i="14"/>
  <c r="L91" i="14"/>
  <c r="L204" i="14"/>
  <c r="L166" i="14"/>
  <c r="L99" i="14"/>
  <c r="L58" i="14"/>
  <c r="L132" i="14"/>
  <c r="L53" i="14"/>
  <c r="L23" i="14"/>
  <c r="L134" i="14"/>
  <c r="L56" i="14"/>
  <c r="L205" i="14"/>
  <c r="L162" i="14"/>
  <c r="L172" i="14"/>
  <c r="L145" i="14"/>
  <c r="L192" i="14"/>
  <c r="L212" i="14"/>
  <c r="L200" i="14"/>
  <c r="L10" i="14"/>
  <c r="L174" i="14"/>
  <c r="L102" i="14"/>
  <c r="L165" i="14"/>
  <c r="L81" i="14"/>
  <c r="L202" i="14"/>
  <c r="L140" i="14"/>
  <c r="L79" i="14"/>
  <c r="L142" i="14"/>
  <c r="L155" i="14"/>
  <c r="L157" i="14"/>
  <c r="L234" i="14"/>
  <c r="L208" i="14"/>
  <c r="L240" i="14"/>
  <c r="L64" i="14"/>
  <c r="L103" i="14"/>
  <c r="L135" i="14"/>
  <c r="L170" i="14"/>
  <c r="L151" i="14"/>
  <c r="L129" i="14"/>
  <c r="L111" i="14"/>
  <c r="L244" i="14"/>
  <c r="L203" i="14"/>
  <c r="L100" i="14"/>
  <c r="L24" i="14"/>
  <c r="L42" i="14"/>
  <c r="L43" i="14"/>
  <c r="L147" i="14"/>
  <c r="L104" i="14"/>
  <c r="L148" i="14"/>
  <c r="L94" i="14"/>
  <c r="L96" i="14"/>
  <c r="L41" i="14"/>
  <c r="L26" i="14"/>
  <c r="L138" i="14"/>
  <c r="L106" i="14"/>
  <c r="L141" i="14"/>
  <c r="L191" i="14"/>
  <c r="L150" i="14"/>
  <c r="L76" i="14"/>
  <c r="L80" i="14"/>
  <c r="L225" i="14"/>
  <c r="L93" i="14"/>
  <c r="L13" i="14"/>
  <c r="L110" i="14"/>
  <c r="L86" i="14"/>
  <c r="L16" i="14"/>
  <c r="L40" i="14"/>
  <c r="L30" i="14"/>
  <c r="L159" i="14"/>
  <c r="L20" i="14"/>
  <c r="L73" i="14"/>
  <c r="L97" i="14"/>
  <c r="L72" i="14"/>
  <c r="L241" i="14"/>
  <c r="L188" i="14"/>
  <c r="L184" i="14"/>
  <c r="L186" i="14"/>
  <c r="L117" i="14"/>
  <c r="L131" i="14"/>
  <c r="L67" i="14"/>
  <c r="L130" i="14"/>
  <c r="L118" i="14"/>
  <c r="L152" i="14"/>
  <c r="L17" i="14"/>
  <c r="L144" i="14"/>
  <c r="L124" i="14"/>
  <c r="L101" i="14"/>
  <c r="L120" i="14"/>
  <c r="L181" i="14"/>
  <c r="L160" i="14"/>
  <c r="L195" i="14"/>
  <c r="L51" i="14"/>
  <c r="L98" i="14"/>
  <c r="L238" i="14"/>
  <c r="L182" i="14"/>
  <c r="L115" i="14"/>
  <c r="L228" i="14"/>
  <c r="L178" i="14"/>
  <c r="L139" i="14"/>
  <c r="L11" i="14"/>
  <c r="L232" i="14"/>
  <c r="L176" i="14"/>
  <c r="L109" i="14"/>
  <c r="L169" i="14"/>
  <c r="L21" i="14"/>
  <c r="L171" i="14"/>
  <c r="L175" i="14"/>
  <c r="L233" i="14"/>
  <c r="L161" i="14"/>
  <c r="L193" i="14"/>
  <c r="L119" i="14"/>
  <c r="L44" i="14"/>
  <c r="L69" i="14"/>
  <c r="L149" i="14"/>
  <c r="L164" i="14"/>
  <c r="L12" i="14"/>
  <c r="L206" i="14"/>
  <c r="L105" i="14"/>
  <c r="L156" i="14"/>
  <c r="L183" i="14"/>
  <c r="L201" i="14"/>
  <c r="L213" i="14"/>
  <c r="L57" i="14"/>
  <c r="L221" i="14"/>
  <c r="L215" i="14"/>
  <c r="L133" i="14"/>
  <c r="L236" i="14"/>
  <c r="L168" i="14"/>
  <c r="L154" i="14"/>
  <c r="L222" i="14"/>
  <c r="L194" i="14"/>
  <c r="L74" i="14"/>
  <c r="L25" i="14"/>
  <c r="L153" i="14"/>
  <c r="L52" i="14"/>
  <c r="L173" i="14"/>
  <c r="L177" i="14"/>
  <c r="L146" i="14"/>
  <c r="L179" i="14"/>
  <c r="L50" i="14"/>
  <c r="L214" i="14"/>
  <c r="L122" i="14"/>
  <c r="L185" i="14"/>
  <c r="L90" i="14"/>
  <c r="L231" i="14"/>
  <c r="L62" i="14"/>
  <c r="L167" i="14"/>
</calcChain>
</file>

<file path=xl/sharedStrings.xml><?xml version="1.0" encoding="utf-8"?>
<sst xmlns="http://schemas.openxmlformats.org/spreadsheetml/2006/main" count="6536" uniqueCount="507">
  <si>
    <t>Filtre</t>
  </si>
  <si>
    <t>Datofilter</t>
  </si>
  <si>
    <t>01-01-21..30-06-21</t>
  </si>
  <si>
    <t>Finansbudgetfilter</t>
  </si>
  <si>
    <t>2021</t>
  </si>
  <si>
    <t>Valuta</t>
  </si>
  <si>
    <t>DKK</t>
  </si>
  <si>
    <t>FORBRUG</t>
  </si>
  <si>
    <t>BUDGET</t>
  </si>
  <si>
    <t>AFVIGELSE</t>
  </si>
  <si>
    <t>FORBRUGS PROCENT</t>
  </si>
  <si>
    <t>RESTBUDGET</t>
  </si>
  <si>
    <t/>
  </si>
  <si>
    <t>BUDGETOPFØLGNING</t>
  </si>
  <si>
    <t>1</t>
  </si>
  <si>
    <t>Indtægtsbevilling</t>
  </si>
  <si>
    <t>2</t>
  </si>
  <si>
    <t>Salg af varer og tjenester</t>
  </si>
  <si>
    <t>3</t>
  </si>
  <si>
    <t>Internt statslig salg</t>
  </si>
  <si>
    <t>4</t>
  </si>
  <si>
    <t>Ordinær Driftsindtægter</t>
  </si>
  <si>
    <t>Ordinær Droftsomkostninger</t>
  </si>
  <si>
    <t>5</t>
  </si>
  <si>
    <t>Lagerregulæring</t>
  </si>
  <si>
    <t>6</t>
  </si>
  <si>
    <t>Husleje/ leje og leasing</t>
  </si>
  <si>
    <t>7</t>
  </si>
  <si>
    <t>Intert statligs køb</t>
  </si>
  <si>
    <t>11</t>
  </si>
  <si>
    <t>Personaleomkostninger</t>
  </si>
  <si>
    <t>12</t>
  </si>
  <si>
    <t>Ordinær Driftsomkostninger</t>
  </si>
  <si>
    <t>13</t>
  </si>
  <si>
    <t>Andre Indtægter</t>
  </si>
  <si>
    <t>14</t>
  </si>
  <si>
    <t>Andre Driftsomkostninger</t>
  </si>
  <si>
    <t>15</t>
  </si>
  <si>
    <t>Finansielle Indtægter</t>
  </si>
  <si>
    <t>16</t>
  </si>
  <si>
    <t>Finansielle omkostninger</t>
  </si>
  <si>
    <t>17</t>
  </si>
  <si>
    <t>Ekstra ordinære indtægter</t>
  </si>
  <si>
    <t>18</t>
  </si>
  <si>
    <t>Ekstra ordinære omkostninger</t>
  </si>
  <si>
    <t>19</t>
  </si>
  <si>
    <t>DRIFTSRESULTAT (før afskrivninger)</t>
  </si>
  <si>
    <t>20</t>
  </si>
  <si>
    <t>Afskrivninger</t>
  </si>
  <si>
    <t>RESULTATOPGØRELSE</t>
  </si>
  <si>
    <t>KONTOPLAN</t>
  </si>
  <si>
    <t>101000</t>
  </si>
  <si>
    <t>Indtægtsført bevilling</t>
  </si>
  <si>
    <t>101101</t>
  </si>
  <si>
    <t>Driftstaxameter</t>
  </si>
  <si>
    <t>101102</t>
  </si>
  <si>
    <t>Udslusningstaxameter</t>
  </si>
  <si>
    <t>101103</t>
  </si>
  <si>
    <t>Kombinationsforløbstaxameter</t>
  </si>
  <si>
    <t>101104</t>
  </si>
  <si>
    <t>Afsøgningstaxameter</t>
  </si>
  <si>
    <t>101105</t>
  </si>
  <si>
    <t>Grundtilskud</t>
  </si>
  <si>
    <t>101120</t>
  </si>
  <si>
    <t>Øvrige tilskud</t>
  </si>
  <si>
    <t>109999</t>
  </si>
  <si>
    <t>Indtægtsbevilling i alt</t>
  </si>
  <si>
    <t>110000</t>
  </si>
  <si>
    <t>Salg af varer og tjenster</t>
  </si>
  <si>
    <t>111001</t>
  </si>
  <si>
    <t>Indtægter i henhold til betalingsloven</t>
  </si>
  <si>
    <t>111002</t>
  </si>
  <si>
    <t>Skoleydelse og løn, EGU-elever</t>
  </si>
  <si>
    <t>111003</t>
  </si>
  <si>
    <t>Salg til Kommuner med moms</t>
  </si>
  <si>
    <t>111004</t>
  </si>
  <si>
    <t>Salg til kommuner uden moms</t>
  </si>
  <si>
    <t>115001</t>
  </si>
  <si>
    <t>Huslejeindtægter</t>
  </si>
  <si>
    <t>116001</t>
  </si>
  <si>
    <t>Leje af forpagtningsaftaler</t>
  </si>
  <si>
    <t>118001</t>
  </si>
  <si>
    <t>Salg af producerede ydelser m/moms</t>
  </si>
  <si>
    <t>118002</t>
  </si>
  <si>
    <t>Salg af producerede ydelser u/moms</t>
  </si>
  <si>
    <t>118003</t>
  </si>
  <si>
    <t>Salg til elever</t>
  </si>
  <si>
    <t>118020</t>
  </si>
  <si>
    <t>Salg i øvrigt</t>
  </si>
  <si>
    <t>119999</t>
  </si>
  <si>
    <t>121100</t>
  </si>
  <si>
    <t>Internt statsligt salg af varer og tjenester</t>
  </si>
  <si>
    <t>121201</t>
  </si>
  <si>
    <t>Internt statsligt salg</t>
  </si>
  <si>
    <t>129999</t>
  </si>
  <si>
    <t>Internt statsligt salg af varer og tjenester i alt</t>
  </si>
  <si>
    <t>139999</t>
  </si>
  <si>
    <t>Ord.driftsindtægter i alt</t>
  </si>
  <si>
    <t>150000</t>
  </si>
  <si>
    <t>Ord. drift.omkostninger</t>
  </si>
  <si>
    <t>150100</t>
  </si>
  <si>
    <t>Ændring i lagre</t>
  </si>
  <si>
    <t>151501</t>
  </si>
  <si>
    <t>Lagerregulering</t>
  </si>
  <si>
    <t>159999</t>
  </si>
  <si>
    <t>Ændring i lagre i alt</t>
  </si>
  <si>
    <t>160000</t>
  </si>
  <si>
    <t>Husleje mv.</t>
  </si>
  <si>
    <t>161001</t>
  </si>
  <si>
    <t>Husleje m/moms</t>
  </si>
  <si>
    <t>161002</t>
  </si>
  <si>
    <t>Husleje u/moms</t>
  </si>
  <si>
    <t>162001</t>
  </si>
  <si>
    <t>Leje af arealer - rettigheder</t>
  </si>
  <si>
    <t>163001</t>
  </si>
  <si>
    <t>Leje og leasing i øvrigt</t>
  </si>
  <si>
    <t>169999</t>
  </si>
  <si>
    <t>Husleje mv. i alt</t>
  </si>
  <si>
    <t>170000</t>
  </si>
  <si>
    <t>Internt statsligt køb varer/tj</t>
  </si>
  <si>
    <t>171201</t>
  </si>
  <si>
    <t>Internt statsligt køb</t>
  </si>
  <si>
    <t>171501</t>
  </si>
  <si>
    <t>Internt statsligt køb af koncernfælles funktioner</t>
  </si>
  <si>
    <t>179999</t>
  </si>
  <si>
    <t>Internt statsligt køb varer/tj i alt</t>
  </si>
  <si>
    <t>180000</t>
  </si>
  <si>
    <t>180100</t>
  </si>
  <si>
    <t>Direkte lønomkostninger</t>
  </si>
  <si>
    <t>180501</t>
  </si>
  <si>
    <t>Bidrag til flexjobordning og barselsfonden</t>
  </si>
  <si>
    <t>180701</t>
  </si>
  <si>
    <t>Fordelte indirekte lønomkostninger</t>
  </si>
  <si>
    <t>180801</t>
  </si>
  <si>
    <t>Intern fordelte lønomkostninger</t>
  </si>
  <si>
    <t>180901</t>
  </si>
  <si>
    <t>Modkonto til konto 1808 interne lønomk.</t>
  </si>
  <si>
    <t>181101</t>
  </si>
  <si>
    <t>Egentlig løn</t>
  </si>
  <si>
    <t>181501</t>
  </si>
  <si>
    <t>Indefrosne feriepenge (modkonto)</t>
  </si>
  <si>
    <t>181601</t>
  </si>
  <si>
    <t>Feriepenge (modkonto)</t>
  </si>
  <si>
    <t>181801</t>
  </si>
  <si>
    <t>Egentlig løn, manuel</t>
  </si>
  <si>
    <t>181804</t>
  </si>
  <si>
    <t>Skoleydelse over 18, udeboende</t>
  </si>
  <si>
    <t>181805</t>
  </si>
  <si>
    <t>Skoleydelse EGU-elever til viderefakt.</t>
  </si>
  <si>
    <t>181806</t>
  </si>
  <si>
    <t>Løn EGU-elever til viderefakt.</t>
  </si>
  <si>
    <t>182101</t>
  </si>
  <si>
    <t>Udbetaling lønrefusion for lånt personale</t>
  </si>
  <si>
    <t>183101</t>
  </si>
  <si>
    <t>Overarbejde</t>
  </si>
  <si>
    <t>184101</t>
  </si>
  <si>
    <t>Merarbejde</t>
  </si>
  <si>
    <t>185101</t>
  </si>
  <si>
    <t>Løn og overarbejde</t>
  </si>
  <si>
    <t>185601</t>
  </si>
  <si>
    <t>Overarbejde (modkonto)</t>
  </si>
  <si>
    <t>186101</t>
  </si>
  <si>
    <t>Særskilt vederlæggelse</t>
  </si>
  <si>
    <t>186801</t>
  </si>
  <si>
    <t>Særskilt vederlæggelse uden årsværk, manuel</t>
  </si>
  <si>
    <t>187101</t>
  </si>
  <si>
    <t>Frivilling fratrædelsesordning</t>
  </si>
  <si>
    <t>187201</t>
  </si>
  <si>
    <t>Kapitaliseret pensionsalderforhøjelse</t>
  </si>
  <si>
    <t>187601</t>
  </si>
  <si>
    <t>Resultatløn og frivfratrædelsesordninger mv hensæt</t>
  </si>
  <si>
    <t>187999</t>
  </si>
  <si>
    <t>Direkte lønomkost. i alt</t>
  </si>
  <si>
    <t>188000</t>
  </si>
  <si>
    <t>Pensionsbidrag</t>
  </si>
  <si>
    <t>188101</t>
  </si>
  <si>
    <t>188301</t>
  </si>
  <si>
    <t>Pensionsbidrag manuel</t>
  </si>
  <si>
    <t>188499</t>
  </si>
  <si>
    <t>Pensionsbidrag i alt</t>
  </si>
  <si>
    <t>188500</t>
  </si>
  <si>
    <t>Lønrefusioner</t>
  </si>
  <si>
    <t>188701</t>
  </si>
  <si>
    <t>Refusion Fleksjob</t>
  </si>
  <si>
    <t>188710</t>
  </si>
  <si>
    <t>Refusion Sygedagpenge</t>
  </si>
  <si>
    <t>188801</t>
  </si>
  <si>
    <t>Refusion udlånt personale</t>
  </si>
  <si>
    <t>188901</t>
  </si>
  <si>
    <t>Tilskud fra Barselsfonden</t>
  </si>
  <si>
    <t>189001</t>
  </si>
  <si>
    <t>Refusion fra Efteruddannelsesfonden</t>
  </si>
  <si>
    <t>189101</t>
  </si>
  <si>
    <t>Øvrig kompensation fraværende personale</t>
  </si>
  <si>
    <t>189201</t>
  </si>
  <si>
    <t>Øvrig tilskud/refusion for beskæftigelse</t>
  </si>
  <si>
    <t>189599</t>
  </si>
  <si>
    <t>Lønrefusioner i alt</t>
  </si>
  <si>
    <t>189899</t>
  </si>
  <si>
    <t>Personaleomkostninger i alt</t>
  </si>
  <si>
    <t>199999</t>
  </si>
  <si>
    <t>Ord. driftsomkostninger i alt</t>
  </si>
  <si>
    <t>209999</t>
  </si>
  <si>
    <t>Resultat af ordinær drift</t>
  </si>
  <si>
    <t>210000</t>
  </si>
  <si>
    <t>Andre driftindtægter</t>
  </si>
  <si>
    <t>211001</t>
  </si>
  <si>
    <t>Indtægter fra SPS</t>
  </si>
  <si>
    <t>211020</t>
  </si>
  <si>
    <t>Øvrige indtægter</t>
  </si>
  <si>
    <t>211025</t>
  </si>
  <si>
    <t>IDV Indtægter</t>
  </si>
  <si>
    <t>211030</t>
  </si>
  <si>
    <t>Lærling indtægter</t>
  </si>
  <si>
    <t>211040</t>
  </si>
  <si>
    <t>Momskompensation</t>
  </si>
  <si>
    <t>219001</t>
  </si>
  <si>
    <t>Gevinst ved afhændelse af anlæg</t>
  </si>
  <si>
    <t>219999</t>
  </si>
  <si>
    <t>Andre driftindtægter i alt</t>
  </si>
  <si>
    <t>220000</t>
  </si>
  <si>
    <t>Andre ordinære driftsomkostninger</t>
  </si>
  <si>
    <t>220501</t>
  </si>
  <si>
    <t>Hensættelser, andet</t>
  </si>
  <si>
    <t>220701</t>
  </si>
  <si>
    <t>Fordelte indirekte omkostninger</t>
  </si>
  <si>
    <t>220801</t>
  </si>
  <si>
    <t>Intern fordeling af øvrige omkostninger</t>
  </si>
  <si>
    <t>220901</t>
  </si>
  <si>
    <t>Modkonto til 2208 interne omkostninger</t>
  </si>
  <si>
    <t>221001</t>
  </si>
  <si>
    <t>Rejse og befordring m/moms, ansatte</t>
  </si>
  <si>
    <t>221002</t>
  </si>
  <si>
    <t>Rejse og befordring u/moms, ansatte</t>
  </si>
  <si>
    <t>221003</t>
  </si>
  <si>
    <t>Befordring, censor</t>
  </si>
  <si>
    <t>222001</t>
  </si>
  <si>
    <t>Ekstern repræsentation</t>
  </si>
  <si>
    <t>222002</t>
  </si>
  <si>
    <t>Intern repræsentation</t>
  </si>
  <si>
    <t>223001</t>
  </si>
  <si>
    <t>Rep. og vedligeholdelse, bygninger</t>
  </si>
  <si>
    <t>223002</t>
  </si>
  <si>
    <t>Rep. og vedligeholdelse, køretøjer, gulpladebiler</t>
  </si>
  <si>
    <t>223004</t>
  </si>
  <si>
    <t>Rep. og vedligeholdelse, køretøjer, hvidpladeblier</t>
  </si>
  <si>
    <t>223005</t>
  </si>
  <si>
    <t>Rep. og vedligeholdelse - Bygninger (Eget)</t>
  </si>
  <si>
    <t>223020</t>
  </si>
  <si>
    <t>Rep. og vedligeholdelse, øvrige</t>
  </si>
  <si>
    <t>223030</t>
  </si>
  <si>
    <t>Forsikringersager</t>
  </si>
  <si>
    <t>223201</t>
  </si>
  <si>
    <t>Arbejdsgivers am-bidrag, ejendomsskat og afgifter</t>
  </si>
  <si>
    <t>223202</t>
  </si>
  <si>
    <t>Registreringsafgift</t>
  </si>
  <si>
    <t>223601</t>
  </si>
  <si>
    <t>Rejse og befordring, elever</t>
  </si>
  <si>
    <t>223801</t>
  </si>
  <si>
    <t>Arbejdsgivernes uddannelsesbidrag (AUB)</t>
  </si>
  <si>
    <t>223810</t>
  </si>
  <si>
    <t>Samlet Betalinger (AER)</t>
  </si>
  <si>
    <t>224001</t>
  </si>
  <si>
    <t>Øvrige driftsaktiviteter</t>
  </si>
  <si>
    <t>224005</t>
  </si>
  <si>
    <t>Personalevælfærd</t>
  </si>
  <si>
    <t>224010</t>
  </si>
  <si>
    <t>Personalesager - HR-omkostninger</t>
  </si>
  <si>
    <t>225501</t>
  </si>
  <si>
    <t>Køb af energi - el</t>
  </si>
  <si>
    <t>225502</t>
  </si>
  <si>
    <t>Køb af energi - varme</t>
  </si>
  <si>
    <t>225503</t>
  </si>
  <si>
    <t>Køb af energi - vand</t>
  </si>
  <si>
    <t>225504</t>
  </si>
  <si>
    <t>Brændstof, hvidpladebiler</t>
  </si>
  <si>
    <t>225505</t>
  </si>
  <si>
    <t>Brændstof, gulpladebiler</t>
  </si>
  <si>
    <t>225507</t>
  </si>
  <si>
    <t>Refusion energiafgifter</t>
  </si>
  <si>
    <t>226001</t>
  </si>
  <si>
    <t>Køb af IT-varer til forbrug</t>
  </si>
  <si>
    <t>226501</t>
  </si>
  <si>
    <t>Køb af IT-tjenesteydelser</t>
  </si>
  <si>
    <t>227001</t>
  </si>
  <si>
    <t>Revision</t>
  </si>
  <si>
    <t>227002</t>
  </si>
  <si>
    <t>Advokat</t>
  </si>
  <si>
    <t>227003</t>
  </si>
  <si>
    <t>Konsulentbistand</t>
  </si>
  <si>
    <t>227004</t>
  </si>
  <si>
    <t>Annoncering og reklame</t>
  </si>
  <si>
    <t>227005</t>
  </si>
  <si>
    <t>Telefonabonnementer</t>
  </si>
  <si>
    <t>227006</t>
  </si>
  <si>
    <t>Kurser</t>
  </si>
  <si>
    <t>227007</t>
  </si>
  <si>
    <t>Fragt og gebyrer</t>
  </si>
  <si>
    <t>227008</t>
  </si>
  <si>
    <t>Rengøring og renovation</t>
  </si>
  <si>
    <t>227010</t>
  </si>
  <si>
    <t>Abonnementer og kontingenter m/moms</t>
  </si>
  <si>
    <t>227011</t>
  </si>
  <si>
    <t>Abonnementer og kontingenter u/moms</t>
  </si>
  <si>
    <t>227012</t>
  </si>
  <si>
    <t>Censorer</t>
  </si>
  <si>
    <t>227015</t>
  </si>
  <si>
    <t>Alarm / Nøglesystemer</t>
  </si>
  <si>
    <t>227020</t>
  </si>
  <si>
    <t>Køb af tj.ydelser i øvrigt</t>
  </si>
  <si>
    <t>227050</t>
  </si>
  <si>
    <t>Porto</t>
  </si>
  <si>
    <t>228001</t>
  </si>
  <si>
    <t>Undervisningsmateriale</t>
  </si>
  <si>
    <t>228002</t>
  </si>
  <si>
    <t>Arbejdstøj</t>
  </si>
  <si>
    <t>228003</t>
  </si>
  <si>
    <t>Kontorartikler</t>
  </si>
  <si>
    <t>228004</t>
  </si>
  <si>
    <t>Småanskaffelser</t>
  </si>
  <si>
    <t>228005</t>
  </si>
  <si>
    <t>Elevaktiviteter</t>
  </si>
  <si>
    <t>228006</t>
  </si>
  <si>
    <t>Varekøb til værkstedsdrift</t>
  </si>
  <si>
    <t>228007</t>
  </si>
  <si>
    <t>Køb EGU-elever til viderefakt.</t>
  </si>
  <si>
    <t>228008</t>
  </si>
  <si>
    <t>Varekøb til direkte videresalg uden forarbejdning</t>
  </si>
  <si>
    <t>228011</t>
  </si>
  <si>
    <t>Betalende Spiseordning Varekøb</t>
  </si>
  <si>
    <t>228020</t>
  </si>
  <si>
    <t>Øvrige omkostninger til værkstedsdrift</t>
  </si>
  <si>
    <t>229001</t>
  </si>
  <si>
    <t>Tab ved afhændelse af anlæg</t>
  </si>
  <si>
    <t>229101</t>
  </si>
  <si>
    <t>Kassedifferencer mv.</t>
  </si>
  <si>
    <t>229401</t>
  </si>
  <si>
    <t>Forventet tab på debitorer</t>
  </si>
  <si>
    <t>229501</t>
  </si>
  <si>
    <t>Tab på debitorer mv.</t>
  </si>
  <si>
    <t>229999</t>
  </si>
  <si>
    <t>Andre ord. drifts.omk I alt</t>
  </si>
  <si>
    <t>250000</t>
  </si>
  <si>
    <t>Finansielle indtægter</t>
  </si>
  <si>
    <t>252001</t>
  </si>
  <si>
    <t>Renteindtægter SKB</t>
  </si>
  <si>
    <t>254001</t>
  </si>
  <si>
    <t>Renteindtægter øvrige pengeinst.</t>
  </si>
  <si>
    <t>256001</t>
  </si>
  <si>
    <t>Værdipapirer</t>
  </si>
  <si>
    <t>257001</t>
  </si>
  <si>
    <t>Udbytter</t>
  </si>
  <si>
    <t>258001</t>
  </si>
  <si>
    <t>Morarenteindtægter</t>
  </si>
  <si>
    <t>259001</t>
  </si>
  <si>
    <t>Øvrige renteindtægter</t>
  </si>
  <si>
    <t>259201</t>
  </si>
  <si>
    <t>Værdiforskelle, solgte værdipapirer</t>
  </si>
  <si>
    <t>259401</t>
  </si>
  <si>
    <t>Værdiforskydning, optagne lån/gæld</t>
  </si>
  <si>
    <t>259999</t>
  </si>
  <si>
    <t>Finansielle indtægter i alt</t>
  </si>
  <si>
    <t>260000</t>
  </si>
  <si>
    <t>264001</t>
  </si>
  <si>
    <t>Renteudgifter SKB</t>
  </si>
  <si>
    <t>265001</t>
  </si>
  <si>
    <t>Prioritetsrenter og bidrag</t>
  </si>
  <si>
    <t>268001</t>
  </si>
  <si>
    <t>Morarenteudgifter til andre offentlige myndigheder</t>
  </si>
  <si>
    <t>268101</t>
  </si>
  <si>
    <t>Morarenter og gebyrer til leverandører</t>
  </si>
  <si>
    <t>269001</t>
  </si>
  <si>
    <t>Øvrige renteudgifter</t>
  </si>
  <si>
    <t>269201</t>
  </si>
  <si>
    <t>Tab/gevinst ved køb af værdipapirer</t>
  </si>
  <si>
    <t>269202</t>
  </si>
  <si>
    <t>Urealiseret kurstab</t>
  </si>
  <si>
    <t>269999</t>
  </si>
  <si>
    <t>Finansielle omkostninger i alt</t>
  </si>
  <si>
    <t>280000</t>
  </si>
  <si>
    <t>Ekstraordinære indtægter</t>
  </si>
  <si>
    <t>280501</t>
  </si>
  <si>
    <t>289899</t>
  </si>
  <si>
    <t>Ekstraordinære indtægter i alt</t>
  </si>
  <si>
    <t>290000</t>
  </si>
  <si>
    <t>Ekstraordinære omkostninger</t>
  </si>
  <si>
    <t>290501</t>
  </si>
  <si>
    <t>299799</t>
  </si>
  <si>
    <t>Ekstraordinære omkostninger i alt</t>
  </si>
  <si>
    <t>299999</t>
  </si>
  <si>
    <t>Driftsresultat (før overførelser)</t>
  </si>
  <si>
    <t>300000</t>
  </si>
  <si>
    <t>Overførsler mv.</t>
  </si>
  <si>
    <t>306001</t>
  </si>
  <si>
    <t>Told- og forbrugsafgifter</t>
  </si>
  <si>
    <t>308001</t>
  </si>
  <si>
    <t>Andre skatter og afgifter</t>
  </si>
  <si>
    <t>442401</t>
  </si>
  <si>
    <t>Fratrædelsesordninger, efterløn mv.</t>
  </si>
  <si>
    <t>469999</t>
  </si>
  <si>
    <t>Overførsler mv. i alt</t>
  </si>
  <si>
    <t>200000</t>
  </si>
  <si>
    <t>Af- og nedskrivning</t>
  </si>
  <si>
    <t>201001</t>
  </si>
  <si>
    <t>Neutralisering af donationsafskrivning</t>
  </si>
  <si>
    <t>203001</t>
  </si>
  <si>
    <t>Afskrivning alle aktiver</t>
  </si>
  <si>
    <t>205001</t>
  </si>
  <si>
    <t>Nedskrivning alle aktiver</t>
  </si>
  <si>
    <t>209899</t>
  </si>
  <si>
    <t>Af- og nedskrivning i alt</t>
  </si>
  <si>
    <t>499999</t>
  </si>
  <si>
    <t>Sted Filter</t>
  </si>
  <si>
    <t>90</t>
  </si>
  <si>
    <t>10</t>
  </si>
  <si>
    <t>60</t>
  </si>
  <si>
    <t>50</t>
  </si>
  <si>
    <t>40</t>
  </si>
  <si>
    <t>30</t>
  </si>
  <si>
    <t>21</t>
  </si>
  <si>
    <t>Fælles adm.</t>
  </si>
  <si>
    <t>Odense</t>
  </si>
  <si>
    <t>Laks</t>
  </si>
  <si>
    <t>Assens</t>
  </si>
  <si>
    <t>Nyborg</t>
  </si>
  <si>
    <t>Nordfyn</t>
  </si>
  <si>
    <t>Kerteminde</t>
  </si>
  <si>
    <t>Særlige tilskud</t>
  </si>
  <si>
    <t>ESTIMAT</t>
  </si>
  <si>
    <t>FÆLLES</t>
  </si>
  <si>
    <t>ODENSE</t>
  </si>
  <si>
    <t>LAKS</t>
  </si>
  <si>
    <t>ASSENS</t>
  </si>
  <si>
    <t>NYBORG</t>
  </si>
  <si>
    <t>NORDFYN</t>
  </si>
  <si>
    <t>KERTEMINDE</t>
  </si>
  <si>
    <t>SÆRLIGE BIDRAG</t>
  </si>
  <si>
    <t>Opgørelse af ændringer til estimat på taksameter</t>
  </si>
  <si>
    <t>Kontrol</t>
  </si>
  <si>
    <t>Difference</t>
  </si>
  <si>
    <t>Person jf. budget</t>
  </si>
  <si>
    <t>Total taksameter</t>
  </si>
  <si>
    <t>Per. person</t>
  </si>
  <si>
    <t>Personer den 23/5</t>
  </si>
  <si>
    <t>Nyt estimat taksameter</t>
  </si>
  <si>
    <t>Realiseret 1Q 2021</t>
  </si>
  <si>
    <t>Fordelingsprocent</t>
  </si>
  <si>
    <t>sit-ns-app20.prod.sitad.dk : 36616_FGU_Odense_mfl</t>
  </si>
  <si>
    <t>Finansposter : 02-06-2021 09:57:12</t>
  </si>
  <si>
    <t>Bogføringsdato</t>
  </si>
  <si>
    <t>Bilagsnr.</t>
  </si>
  <si>
    <t>Finanskontonr.</t>
  </si>
  <si>
    <t>Beskrivelse</t>
  </si>
  <si>
    <t>KVARTAL</t>
  </si>
  <si>
    <t>Beløb</t>
  </si>
  <si>
    <t>OMP2100220</t>
  </si>
  <si>
    <t>OMP2100099 Løft af det inkluderende læringsmiljø</t>
  </si>
  <si>
    <t>1Q</t>
  </si>
  <si>
    <t>IKKE FORDELT</t>
  </si>
  <si>
    <t>OMP2100103 Tilpasning af institutionsstruktur 2019</t>
  </si>
  <si>
    <t>OMP2100103 Implementering af FGU reform</t>
  </si>
  <si>
    <t>Supplerende indberetning 2019/2020</t>
  </si>
  <si>
    <t>IKKE FORDELT (heri er også noget gammel skoleydelse)</t>
  </si>
  <si>
    <t>Total taksamter</t>
  </si>
  <si>
    <t>Primo</t>
  </si>
  <si>
    <t>Momsforskydning UVM</t>
  </si>
  <si>
    <t>Lån</t>
  </si>
  <si>
    <t>Saldo</t>
  </si>
  <si>
    <t>Ultimo juni</t>
  </si>
  <si>
    <t>Regnskab 1/7 - 31/12 2021</t>
  </si>
  <si>
    <t>31/3 2021</t>
  </si>
  <si>
    <t>Udslusning</t>
  </si>
  <si>
    <t>BUDGET 2022</t>
  </si>
  <si>
    <t>BUDGET 2023</t>
  </si>
  <si>
    <t>DATAARK</t>
  </si>
  <si>
    <t>Lønfremskrivningsprocent</t>
  </si>
  <si>
    <t>ØD fremskrivningsprocent</t>
  </si>
  <si>
    <t>Fremskrivningstal Taksameter</t>
  </si>
  <si>
    <t>30/6 2021</t>
  </si>
  <si>
    <t>Taksamter 2022</t>
  </si>
  <si>
    <t>Taksamter 2023</t>
  </si>
  <si>
    <t>Grundtilskud 2022</t>
  </si>
  <si>
    <t>Grundtilskud 2023</t>
  </si>
  <si>
    <t>Fælles</t>
  </si>
  <si>
    <t>Øvrige tilskud 2022</t>
  </si>
  <si>
    <t>Øvrige tilskud 2023</t>
  </si>
  <si>
    <t>BUDGET GRUNDLAG</t>
  </si>
  <si>
    <t>SÆRLIGE TILSKUD</t>
  </si>
  <si>
    <t>Udslusning 2022</t>
  </si>
  <si>
    <t>Udsludning 2023</t>
  </si>
  <si>
    <t>Her tastes procentsatsen du ønsker at hæve budgettet med fra år til år som 1 + procenten, dvs. 0,9 % = 1,009</t>
  </si>
  <si>
    <t>Likviditets udvikling 2022</t>
  </si>
  <si>
    <t>Ultimo 2022</t>
  </si>
  <si>
    <t>Ventilationsanlæg afskrivninger</t>
  </si>
  <si>
    <t>Indretning industri og medier</t>
  </si>
  <si>
    <t>Nyt tag</t>
  </si>
  <si>
    <t>Fjernvarme</t>
  </si>
  <si>
    <t>Ny emhætte</t>
  </si>
  <si>
    <t>Etablering af faglokaler</t>
  </si>
  <si>
    <t>Investering jf. Per's notat</t>
  </si>
  <si>
    <t>HER SKAL DU TASTE DIN LØNUDGIFT</t>
  </si>
  <si>
    <t>HER SKAL DU TASTE DIN PENSIONSUDGIFT</t>
  </si>
  <si>
    <t>HENT RESULTATET FRA LINJE 35 OG INDSÆT SPECIAL 123 OG VEND FORTEGN</t>
  </si>
  <si>
    <t>Tilbageføring af afskrivninger</t>
  </si>
  <si>
    <t>Fordelt afskrivninger jf. elevfordelingsnøgle</t>
  </si>
  <si>
    <t>KOREGIERET RESULTATOPGØRELSE</t>
  </si>
  <si>
    <t>Køb af ejendom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</si>
</sst>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#,##0.00_ ;\-#,##0.00\ "/>
    <numFmt numFmtId="165" formatCode="_-* #,##0_-;\-* #,##0_-;_-* &quot;-&quot;??_-;_-@_-"/>
    <numFmt numFmtId="166" formatCode="_-* #,##0.00\ _k_r_._-;\-* #,##0.00\ _k_r_._-;_-* &quot;-&quot;??\ _k_r_._-;_-@_-"/>
    <numFmt numFmtId="167" formatCode="0_ ;\-0\ "/>
  </numFmts>
  <fonts count="9" x14ac:knownFonts="1"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Microsoft Sans Serif"/>
      <family val="2"/>
    </font>
    <font>
      <sz val="10"/>
      <name val="Microsoft Sans Serif"/>
      <family val="2"/>
    </font>
    <font>
      <sz val="14"/>
      <color rgb="FFF2F2F2"/>
      <name val="Microsoft Sans Serif"/>
      <family val="2"/>
    </font>
    <font>
      <sz val="14"/>
      <name val="Microsoft Sans Serif"/>
      <family val="2"/>
    </font>
    <font>
      <b/>
      <sz val="2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1" fillId="0" borderId="0"/>
    <xf numFmtId="9" fontId="3" fillId="0" borderId="0" applyFont="0" applyFill="0" applyBorder="0" applyAlignment="0" applyProtection="0"/>
  </cellStyleXfs>
  <cellXfs count="139">
    <xf numFmtId="0" fontId="0" fillId="0" borderId="0" xfId="0"/>
    <xf numFmtId="49" fontId="0" fillId="0" borderId="1" xfId="0" applyNumberFormat="1" applyBorder="1"/>
    <xf numFmtId="49" fontId="0" fillId="0" borderId="0" xfId="0" applyNumberFormat="1"/>
    <xf numFmtId="49" fontId="2" fillId="0" borderId="0" xfId="0" applyNumberFormat="1" applyFont="1"/>
    <xf numFmtId="49" fontId="2" fillId="0" borderId="2" xfId="0" applyNumberFormat="1" applyFont="1" applyBorder="1"/>
    <xf numFmtId="43" fontId="2" fillId="0" borderId="0" xfId="1" applyFont="1"/>
    <xf numFmtId="43" fontId="2" fillId="0" borderId="2" xfId="1" applyFont="1" applyBorder="1"/>
    <xf numFmtId="43" fontId="0" fillId="0" borderId="0" xfId="1" applyFont="1" applyAlignment="1">
      <alignment horizontal="right"/>
    </xf>
    <xf numFmtId="43" fontId="2" fillId="0" borderId="0" xfId="1" applyFont="1" applyAlignment="1">
      <alignment horizontal="right"/>
    </xf>
    <xf numFmtId="43" fontId="2" fillId="0" borderId="2" xfId="1" applyFont="1" applyBorder="1" applyAlignment="1">
      <alignment horizontal="right"/>
    </xf>
    <xf numFmtId="0" fontId="0" fillId="0" borderId="0" xfId="0"/>
    <xf numFmtId="49" fontId="0" fillId="0" borderId="1" xfId="0" applyNumberFormat="1" applyBorder="1"/>
    <xf numFmtId="49" fontId="0" fillId="0" borderId="0" xfId="0" applyNumberFormat="1"/>
    <xf numFmtId="49" fontId="2" fillId="0" borderId="0" xfId="0" applyNumberFormat="1" applyFont="1"/>
    <xf numFmtId="49" fontId="2" fillId="0" borderId="2" xfId="0" applyNumberFormat="1" applyFont="1" applyBorder="1"/>
    <xf numFmtId="0" fontId="0" fillId="0" borderId="0" xfId="0"/>
    <xf numFmtId="49" fontId="0" fillId="0" borderId="1" xfId="0" applyNumberFormat="1" applyBorder="1"/>
    <xf numFmtId="49" fontId="0" fillId="0" borderId="0" xfId="0" applyNumberFormat="1"/>
    <xf numFmtId="49" fontId="2" fillId="0" borderId="0" xfId="0" applyNumberFormat="1" applyFont="1"/>
    <xf numFmtId="49" fontId="2" fillId="0" borderId="2" xfId="0" applyNumberFormat="1" applyFont="1" applyBorder="1"/>
    <xf numFmtId="0" fontId="0" fillId="0" borderId="0" xfId="0"/>
    <xf numFmtId="49" fontId="0" fillId="0" borderId="1" xfId="0" applyNumberFormat="1" applyBorder="1"/>
    <xf numFmtId="49" fontId="0" fillId="0" borderId="0" xfId="0" applyNumberFormat="1"/>
    <xf numFmtId="49" fontId="2" fillId="0" borderId="0" xfId="0" applyNumberFormat="1" applyFont="1"/>
    <xf numFmtId="49" fontId="2" fillId="0" borderId="2" xfId="0" applyNumberFormat="1" applyFont="1" applyBorder="1"/>
    <xf numFmtId="0" fontId="0" fillId="0" borderId="0" xfId="0"/>
    <xf numFmtId="49" fontId="0" fillId="0" borderId="1" xfId="0" applyNumberFormat="1" applyBorder="1"/>
    <xf numFmtId="49" fontId="0" fillId="0" borderId="0" xfId="0" applyNumberFormat="1"/>
    <xf numFmtId="49" fontId="2" fillId="0" borderId="0" xfId="0" applyNumberFormat="1" applyFont="1"/>
    <xf numFmtId="49" fontId="2" fillId="0" borderId="2" xfId="0" applyNumberFormat="1" applyFont="1" applyBorder="1"/>
    <xf numFmtId="0" fontId="0" fillId="0" borderId="0" xfId="0"/>
    <xf numFmtId="49" fontId="0" fillId="0" borderId="1" xfId="0" applyNumberFormat="1" applyBorder="1"/>
    <xf numFmtId="49" fontId="0" fillId="0" borderId="0" xfId="0" applyNumberFormat="1"/>
    <xf numFmtId="49" fontId="2" fillId="0" borderId="0" xfId="0" applyNumberFormat="1" applyFont="1"/>
    <xf numFmtId="49" fontId="2" fillId="0" borderId="2" xfId="0" applyNumberFormat="1" applyFont="1" applyBorder="1"/>
    <xf numFmtId="0" fontId="0" fillId="0" borderId="0" xfId="0"/>
    <xf numFmtId="49" fontId="0" fillId="0" borderId="1" xfId="0" applyNumberFormat="1" applyBorder="1"/>
    <xf numFmtId="49" fontId="0" fillId="0" borderId="0" xfId="0" applyNumberFormat="1"/>
    <xf numFmtId="49" fontId="2" fillId="0" borderId="0" xfId="0" applyNumberFormat="1" applyFont="1"/>
    <xf numFmtId="49" fontId="2" fillId="0" borderId="2" xfId="0" applyNumberFormat="1" applyFont="1" applyBorder="1"/>
    <xf numFmtId="0" fontId="0" fillId="0" borderId="0" xfId="0"/>
    <xf numFmtId="49" fontId="0" fillId="0" borderId="1" xfId="0" applyNumberFormat="1" applyBorder="1"/>
    <xf numFmtId="49" fontId="0" fillId="0" borderId="0" xfId="0" applyNumberFormat="1"/>
    <xf numFmtId="49" fontId="2" fillId="0" borderId="0" xfId="0" applyNumberFormat="1" applyFont="1"/>
    <xf numFmtId="49" fontId="2" fillId="0" borderId="2" xfId="0" applyNumberFormat="1" applyFont="1" applyBorder="1"/>
    <xf numFmtId="164" fontId="0" fillId="0" borderId="0" xfId="1" applyNumberFormat="1" applyFont="1" applyAlignment="1">
      <alignment horizontal="right"/>
    </xf>
    <xf numFmtId="164" fontId="2" fillId="0" borderId="0" xfId="1" applyNumberFormat="1" applyFont="1" applyAlignment="1">
      <alignment horizontal="right"/>
    </xf>
    <xf numFmtId="164" fontId="2" fillId="0" borderId="2" xfId="1" applyNumberFormat="1" applyFont="1" applyBorder="1" applyAlignment="1">
      <alignment horizontal="right"/>
    </xf>
    <xf numFmtId="43" fontId="3" fillId="0" borderId="0" xfId="1" applyFont="1"/>
    <xf numFmtId="43" fontId="3" fillId="0" borderId="0" xfId="1" applyFont="1" applyFill="1"/>
    <xf numFmtId="43" fontId="2" fillId="0" borderId="0" xfId="1" applyFont="1" applyFill="1"/>
    <xf numFmtId="4" fontId="0" fillId="0" borderId="0" xfId="0" applyNumberFormat="1" applyAlignment="1">
      <alignment horizontal="right"/>
    </xf>
    <xf numFmtId="43" fontId="3" fillId="0" borderId="0" xfId="1" applyFont="1" applyAlignment="1">
      <alignment horizontal="right"/>
    </xf>
    <xf numFmtId="0" fontId="0" fillId="0" borderId="0" xfId="0" applyAlignment="1">
      <alignment horizontal="right"/>
    </xf>
    <xf numFmtId="43" fontId="3" fillId="0" borderId="0" xfId="1" applyFont="1" applyFill="1" applyAlignment="1">
      <alignment horizontal="right"/>
    </xf>
    <xf numFmtId="43" fontId="2" fillId="0" borderId="0" xfId="1" applyFont="1" applyFill="1" applyAlignment="1">
      <alignment horizontal="right"/>
    </xf>
    <xf numFmtId="0" fontId="2" fillId="0" borderId="0" xfId="0" applyFont="1"/>
    <xf numFmtId="166" fontId="0" fillId="0" borderId="0" xfId="0" applyNumberFormat="1"/>
    <xf numFmtId="9" fontId="0" fillId="0" borderId="0" xfId="3" applyFont="1"/>
    <xf numFmtId="9" fontId="0" fillId="0" borderId="0" xfId="3" applyFont="1" applyAlignment="1">
      <alignment horizontal="right"/>
    </xf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43" fontId="5" fillId="2" borderId="0" xfId="1" applyFont="1" applyFill="1" applyAlignment="1">
      <alignment horizontal="right" vertical="center"/>
    </xf>
    <xf numFmtId="0" fontId="6" fillId="3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43" fontId="7" fillId="3" borderId="0" xfId="1" applyFont="1" applyFill="1" applyAlignment="1">
      <alignment horizontal="right" vertical="center"/>
    </xf>
    <xf numFmtId="14" fontId="0" fillId="0" borderId="0" xfId="0" applyNumberFormat="1"/>
    <xf numFmtId="4" fontId="1" fillId="0" borderId="0" xfId="2" applyNumberFormat="1" applyAlignment="1">
      <alignment horizontal="right"/>
    </xf>
    <xf numFmtId="4" fontId="2" fillId="0" borderId="0" xfId="0" applyNumberFormat="1" applyFont="1" applyAlignment="1">
      <alignment horizontal="right"/>
    </xf>
    <xf numFmtId="4" fontId="2" fillId="0" borderId="2" xfId="0" applyNumberFormat="1" applyFont="1" applyBorder="1" applyAlignment="1">
      <alignment horizontal="right"/>
    </xf>
    <xf numFmtId="4" fontId="0" fillId="0" borderId="0" xfId="1" applyNumberFormat="1" applyFont="1" applyAlignment="1">
      <alignment horizontal="right"/>
    </xf>
    <xf numFmtId="4" fontId="2" fillId="0" borderId="0" xfId="1" applyNumberFormat="1" applyFont="1" applyAlignment="1">
      <alignment horizontal="right"/>
    </xf>
    <xf numFmtId="4" fontId="2" fillId="0" borderId="2" xfId="1" applyNumberFormat="1" applyFont="1" applyBorder="1" applyAlignment="1">
      <alignment horizontal="right"/>
    </xf>
    <xf numFmtId="43" fontId="0" fillId="0" borderId="0" xfId="1" applyFont="1"/>
    <xf numFmtId="164" fontId="0" fillId="4" borderId="0" xfId="1" applyNumberFormat="1" applyFont="1" applyFill="1" applyAlignment="1">
      <alignment horizontal="right"/>
    </xf>
    <xf numFmtId="164" fontId="0" fillId="6" borderId="0" xfId="1" applyNumberFormat="1" applyFont="1" applyFill="1" applyAlignment="1">
      <alignment horizontal="right"/>
    </xf>
    <xf numFmtId="164" fontId="2" fillId="6" borderId="0" xfId="1" applyNumberFormat="1" applyFont="1" applyFill="1" applyAlignment="1">
      <alignment horizontal="right"/>
    </xf>
    <xf numFmtId="164" fontId="2" fillId="6" borderId="2" xfId="1" applyNumberFormat="1" applyFont="1" applyFill="1" applyBorder="1" applyAlignment="1">
      <alignment horizontal="right"/>
    </xf>
    <xf numFmtId="164" fontId="0" fillId="0" borderId="0" xfId="0" applyNumberFormat="1"/>
    <xf numFmtId="0" fontId="0" fillId="0" borderId="0" xfId="0" applyAlignment="1"/>
    <xf numFmtId="43" fontId="0" fillId="0" borderId="0" xfId="1" applyFont="1" applyAlignment="1"/>
    <xf numFmtId="165" fontId="0" fillId="0" borderId="0" xfId="1" applyNumberFormat="1" applyFont="1" applyAlignment="1"/>
    <xf numFmtId="165" fontId="0" fillId="0" borderId="0" xfId="0" applyNumberFormat="1" applyAlignment="1"/>
    <xf numFmtId="43" fontId="0" fillId="0" borderId="0" xfId="0" applyNumberFormat="1" applyAlignment="1"/>
    <xf numFmtId="9" fontId="0" fillId="0" borderId="0" xfId="3" applyFont="1" applyAlignment="1"/>
    <xf numFmtId="166" fontId="0" fillId="0" borderId="0" xfId="0" applyNumberFormat="1" applyAlignment="1"/>
    <xf numFmtId="1" fontId="2" fillId="0" borderId="0" xfId="1" applyNumberFormat="1" applyFont="1" applyAlignment="1">
      <alignment horizontal="right"/>
    </xf>
    <xf numFmtId="1" fontId="2" fillId="0" borderId="0" xfId="0" applyNumberFormat="1" applyFont="1" applyAlignment="1">
      <alignment horizontal="right"/>
    </xf>
    <xf numFmtId="167" fontId="2" fillId="0" borderId="0" xfId="1" applyNumberFormat="1" applyFont="1" applyAlignment="1">
      <alignment horizontal="right"/>
    </xf>
    <xf numFmtId="4" fontId="0" fillId="0" borderId="0" xfId="1" applyNumberFormat="1" applyFont="1" applyAlignment="1" applyProtection="1">
      <alignment horizontal="right"/>
      <protection locked="0"/>
    </xf>
    <xf numFmtId="4" fontId="2" fillId="0" borderId="0" xfId="0" applyNumberFormat="1" applyFont="1" applyAlignment="1" applyProtection="1">
      <alignment horizontal="right"/>
      <protection locked="0"/>
    </xf>
    <xf numFmtId="49" fontId="0" fillId="0" borderId="1" xfId="0" applyNumberFormat="1" applyBorder="1" applyProtection="1"/>
    <xf numFmtId="0" fontId="0" fillId="0" borderId="0" xfId="0" applyProtection="1"/>
    <xf numFmtId="4" fontId="0" fillId="0" borderId="0" xfId="1" applyNumberFormat="1" applyFont="1" applyAlignment="1" applyProtection="1">
      <alignment horizontal="right"/>
    </xf>
    <xf numFmtId="49" fontId="0" fillId="0" borderId="0" xfId="0" applyNumberFormat="1" applyProtection="1"/>
    <xf numFmtId="4" fontId="2" fillId="0" borderId="0" xfId="1" applyNumberFormat="1" applyFont="1" applyAlignment="1" applyProtection="1">
      <alignment horizontal="right"/>
    </xf>
    <xf numFmtId="4" fontId="2" fillId="0" borderId="0" xfId="0" applyNumberFormat="1" applyFont="1" applyAlignment="1" applyProtection="1">
      <alignment horizontal="right"/>
    </xf>
    <xf numFmtId="49" fontId="2" fillId="0" borderId="0" xfId="0" applyNumberFormat="1" applyFont="1" applyProtection="1"/>
    <xf numFmtId="1" fontId="2" fillId="0" borderId="0" xfId="1" applyNumberFormat="1" applyFont="1" applyAlignment="1" applyProtection="1">
      <alignment horizontal="right"/>
    </xf>
    <xf numFmtId="1" fontId="2" fillId="0" borderId="0" xfId="0" applyNumberFormat="1" applyFont="1" applyAlignment="1" applyProtection="1">
      <alignment horizontal="right"/>
    </xf>
    <xf numFmtId="49" fontId="2" fillId="0" borderId="2" xfId="0" applyNumberFormat="1" applyFont="1" applyBorder="1" applyProtection="1"/>
    <xf numFmtId="4" fontId="2" fillId="0" borderId="2" xfId="1" applyNumberFormat="1" applyFont="1" applyBorder="1" applyAlignment="1" applyProtection="1">
      <alignment horizontal="right"/>
    </xf>
    <xf numFmtId="43" fontId="0" fillId="0" borderId="0" xfId="1" applyFont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right"/>
      <protection locked="0"/>
    </xf>
    <xf numFmtId="43" fontId="2" fillId="0" borderId="0" xfId="1" applyFont="1" applyAlignment="1" applyProtection="1">
      <alignment horizontal="right"/>
      <protection locked="0"/>
    </xf>
    <xf numFmtId="43" fontId="2" fillId="0" borderId="2" xfId="1" applyFont="1" applyBorder="1" applyAlignment="1" applyProtection="1">
      <alignment horizontal="right"/>
      <protection locked="0"/>
    </xf>
    <xf numFmtId="4" fontId="2" fillId="0" borderId="2" xfId="0" applyNumberFormat="1" applyFont="1" applyBorder="1" applyAlignment="1" applyProtection="1">
      <alignment horizontal="right"/>
      <protection locked="0"/>
    </xf>
    <xf numFmtId="43" fontId="1" fillId="4" borderId="0" xfId="1" applyFont="1" applyFill="1" applyAlignment="1" applyProtection="1">
      <alignment horizontal="right"/>
      <protection locked="0"/>
    </xf>
    <xf numFmtId="43" fontId="0" fillId="4" borderId="0" xfId="1" applyFont="1" applyFill="1" applyAlignment="1" applyProtection="1">
      <alignment horizontal="right"/>
      <protection locked="0"/>
    </xf>
    <xf numFmtId="4" fontId="0" fillId="4" borderId="0" xfId="0" applyNumberFormat="1" applyFill="1" applyAlignment="1" applyProtection="1">
      <alignment horizontal="right"/>
      <protection locked="0"/>
    </xf>
    <xf numFmtId="4" fontId="1" fillId="0" borderId="0" xfId="2" applyNumberFormat="1" applyAlignment="1" applyProtection="1">
      <alignment horizontal="right"/>
      <protection locked="0"/>
    </xf>
    <xf numFmtId="4" fontId="0" fillId="0" borderId="0" xfId="0" applyNumberFormat="1" applyFill="1" applyAlignment="1" applyProtection="1">
      <alignment horizontal="right"/>
      <protection locked="0"/>
    </xf>
    <xf numFmtId="0" fontId="0" fillId="0" borderId="0" xfId="0" applyAlignment="1">
      <alignment horizontal="right" wrapText="1"/>
    </xf>
    <xf numFmtId="0" fontId="0" fillId="0" borderId="0" xfId="0" applyAlignment="1" applyProtection="1">
      <protection locked="0"/>
    </xf>
    <xf numFmtId="43" fontId="0" fillId="0" borderId="0" xfId="1" applyFont="1" applyAlignment="1" applyProtection="1">
      <protection locked="0"/>
    </xf>
    <xf numFmtId="43" fontId="3" fillId="5" borderId="0" xfId="1" applyFont="1" applyFill="1"/>
    <xf numFmtId="43" fontId="2" fillId="5" borderId="0" xfId="1" applyFont="1" applyFill="1"/>
    <xf numFmtId="43" fontId="2" fillId="5" borderId="2" xfId="1" applyFont="1" applyFill="1" applyBorder="1"/>
    <xf numFmtId="4" fontId="2" fillId="0" borderId="0" xfId="0" applyNumberFormat="1" applyFont="1" applyAlignment="1" applyProtection="1">
      <alignment horizontal="right" wrapText="1"/>
    </xf>
    <xf numFmtId="4" fontId="0" fillId="0" borderId="0" xfId="0" applyNumberFormat="1" applyAlignment="1" applyProtection="1">
      <alignment horizontal="right"/>
    </xf>
    <xf numFmtId="43" fontId="0" fillId="0" borderId="0" xfId="1" applyFont="1" applyAlignment="1" applyProtection="1">
      <alignment horizontal="right"/>
    </xf>
    <xf numFmtId="43" fontId="2" fillId="0" borderId="0" xfId="1" applyFont="1" applyAlignment="1" applyProtection="1">
      <alignment horizontal="right"/>
    </xf>
    <xf numFmtId="4" fontId="2" fillId="0" borderId="2" xfId="0" applyNumberFormat="1" applyFont="1" applyBorder="1" applyAlignment="1" applyProtection="1">
      <alignment horizontal="right"/>
    </xf>
    <xf numFmtId="43" fontId="2" fillId="0" borderId="2" xfId="1" applyFont="1" applyBorder="1" applyAlignment="1" applyProtection="1">
      <alignment horizontal="right"/>
    </xf>
    <xf numFmtId="4" fontId="0" fillId="0" borderId="0" xfId="0" applyNumberFormat="1"/>
    <xf numFmtId="4" fontId="3" fillId="0" borderId="0" xfId="1" applyNumberFormat="1" applyFont="1"/>
    <xf numFmtId="4" fontId="0" fillId="0" borderId="0" xfId="1" applyNumberFormat="1" applyFont="1"/>
    <xf numFmtId="4" fontId="2" fillId="0" borderId="0" xfId="1" applyNumberFormat="1" applyFont="1" applyAlignment="1" applyProtection="1">
      <alignment horizontal="right"/>
      <protection locked="0"/>
    </xf>
    <xf numFmtId="4" fontId="1" fillId="4" borderId="0" xfId="1" applyNumberFormat="1" applyFont="1" applyFill="1" applyAlignment="1" applyProtection="1">
      <alignment horizontal="right"/>
      <protection locked="0"/>
    </xf>
    <xf numFmtId="4" fontId="0" fillId="4" borderId="0" xfId="1" applyNumberFormat="1" applyFont="1" applyFill="1" applyAlignment="1" applyProtection="1">
      <alignment horizontal="right"/>
      <protection locked="0"/>
    </xf>
    <xf numFmtId="4" fontId="2" fillId="0" borderId="2" xfId="1" applyNumberFormat="1" applyFont="1" applyBorder="1" applyAlignment="1" applyProtection="1">
      <alignment horizontal="right"/>
      <protection locked="0"/>
    </xf>
    <xf numFmtId="4" fontId="3" fillId="0" borderId="0" xfId="1" applyNumberFormat="1" applyFont="1" applyAlignment="1">
      <alignment horizontal="right"/>
    </xf>
    <xf numFmtId="0" fontId="8" fillId="0" borderId="0" xfId="0" applyFont="1" applyAlignment="1">
      <alignment horizontal="center"/>
    </xf>
    <xf numFmtId="43" fontId="3" fillId="4" borderId="4" xfId="1" applyFont="1" applyFill="1" applyBorder="1" applyAlignment="1">
      <alignment horizontal="center" vertical="center"/>
    </xf>
    <xf numFmtId="43" fontId="3" fillId="4" borderId="3" xfId="1" applyFont="1" applyFill="1" applyBorder="1" applyAlignment="1">
      <alignment horizontal="center" vertical="center"/>
    </xf>
    <xf numFmtId="43" fontId="3" fillId="4" borderId="5" xfId="1" applyFont="1" applyFill="1" applyBorder="1" applyAlignment="1">
      <alignment horizontal="center" vertical="center"/>
    </xf>
    <xf numFmtId="43" fontId="3" fillId="4" borderId="6" xfId="1" applyFont="1" applyFill="1" applyBorder="1" applyAlignment="1">
      <alignment horizontal="center" vertical="center"/>
    </xf>
    <xf numFmtId="43" fontId="3" fillId="4" borderId="1" xfId="1" applyFont="1" applyFill="1" applyBorder="1" applyAlignment="1">
      <alignment horizontal="center" vertical="center"/>
    </xf>
    <xf numFmtId="43" fontId="3" fillId="4" borderId="7" xfId="1" applyFont="1" applyFill="1" applyBorder="1" applyAlignment="1">
      <alignment horizontal="center" vertical="center"/>
    </xf>
  </cellXfs>
  <cellStyles count="4">
    <cellStyle name="Komma" xfId="1" builtinId="3"/>
    <cellStyle name="Normal" xfId="0" builtinId="0"/>
    <cellStyle name="Normal 2" xfId="2" xr:uid="{00000000-0005-0000-0000-000002000000}"/>
    <cellStyle name="Procent" xfId="3" builtinId="5"/>
  </cellStyles>
  <dxfs count="336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a-DK"/>
              <a:t>Likviditets udvikling 2021</a:t>
            </a:r>
          </a:p>
        </c:rich>
      </c:tx>
      <c:layout>
        <c:manualLayout>
          <c:xMode val="edge"/>
          <c:yMode val="edge"/>
          <c:x val="0.38657421742668174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>
        <c:manualLayout>
          <c:layoutTarget val="inner"/>
          <c:xMode val="edge"/>
          <c:yMode val="edge"/>
          <c:x val="0.18096178870282956"/>
          <c:y val="0.16708333333333336"/>
          <c:w val="0.77137707786526688"/>
          <c:h val="0.72088764946048411"/>
        </c:manualLayout>
      </c:layout>
      <c:lineChart>
        <c:grouping val="standard"/>
        <c:varyColors val="0"/>
        <c:ser>
          <c:idx val="0"/>
          <c:order val="0"/>
          <c:tx>
            <c:strRef>
              <c:f>[1]Likviditetsoversigt!$H$4:$I$4</c:f>
              <c:strCache>
                <c:ptCount val="1"/>
                <c:pt idx="0">
                  <c:v>Ultimo marts Ultimo 2021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elete val="1"/>
          </c:dLbls>
          <c:cat>
            <c:strRef>
              <c:f>[1]Likviditetsoversigt!$H$4:$I$4</c:f>
              <c:strCache>
                <c:ptCount val="2"/>
                <c:pt idx="0">
                  <c:v>Ultimo marts</c:v>
                </c:pt>
                <c:pt idx="1">
                  <c:v>Ultimo 2021</c:v>
                </c:pt>
              </c:strCache>
            </c:strRef>
          </c:cat>
          <c:val>
            <c:numRef>
              <c:f>[1]Likviditetsoversigt!$H$13:$I$13</c:f>
              <c:numCache>
                <c:formatCode>General</c:formatCode>
                <c:ptCount val="2"/>
                <c:pt idx="0">
                  <c:v>44797926.634000003</c:v>
                </c:pt>
                <c:pt idx="1">
                  <c:v>27058609.527931336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23C-4E7F-814C-30FFFAB9E358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86465568"/>
        <c:axId val="1348374304"/>
      </c:lineChart>
      <c:catAx>
        <c:axId val="1086465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1348374304"/>
        <c:crosses val="autoZero"/>
        <c:auto val="1"/>
        <c:lblAlgn val="ctr"/>
        <c:lblOffset val="100"/>
        <c:noMultiLvlLbl val="0"/>
      </c:catAx>
      <c:valAx>
        <c:axId val="13483743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10864655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942975</xdr:colOff>
      <xdr:row>13</xdr:row>
      <xdr:rowOff>33337</xdr:rowOff>
    </xdr:from>
    <xdr:to>
      <xdr:col>11</xdr:col>
      <xdr:colOff>923925</xdr:colOff>
      <xdr:row>27</xdr:row>
      <xdr:rowOff>109537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E602F4E5-4B79-44E4-AC1C-A49391EABC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hw\AppData\Local\Microsoft\Windows\INetCache\Content.Outlook\2JEM5K07\Kvartalsregnskab%20pr%203103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jbr\Documents\FGU%20FYN\Kvartalsregnskab%20pr%20310321_simulering%20060821%20med%20nye%20estimattal%20for%20taksamter1008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kviditetsoversigt"/>
      <sheetName val="TOTAL FORBRUG"/>
      <sheetName val="TOTAL ESTIMAT"/>
      <sheetName val="ESTIMAT VERSUS 2020"/>
      <sheetName val="Fælles"/>
      <sheetName val="Odense"/>
      <sheetName val="Laks"/>
      <sheetName val="Assens"/>
      <sheetName val="Nyborg"/>
      <sheetName val="Nordfyn"/>
      <sheetName val="Kerteminde"/>
      <sheetName val="Særtilskud"/>
      <sheetName val="Taksameter"/>
      <sheetName val="Øvrige tilskud"/>
    </sheetNames>
    <sheetDataSet>
      <sheetData sheetId="0">
        <row r="4">
          <cell r="H4" t="str">
            <v>Ultimo marts</v>
          </cell>
          <cell r="I4" t="str">
            <v>Ultimo 2021</v>
          </cell>
        </row>
        <row r="13">
          <cell r="H13">
            <v>44797926.634000003</v>
          </cell>
          <cell r="I13">
            <v>27058609.527931336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kviditetsoversigt"/>
      <sheetName val="TOTAL FORBRUG"/>
      <sheetName val="TOTAL ESTIMAT"/>
      <sheetName val="ESTIMAT VERSUS 2020"/>
      <sheetName val="Fælles"/>
      <sheetName val="Odense"/>
      <sheetName val="Laks"/>
      <sheetName val="Assens"/>
      <sheetName val="Nyborg"/>
      <sheetName val="Nordfyn"/>
      <sheetName val="Kerteminde"/>
      <sheetName val="Særtilskud"/>
      <sheetName val="Taksameter"/>
      <sheetName val="Øvrige tilskud"/>
    </sheetNames>
    <sheetDataSet>
      <sheetData sheetId="0"/>
      <sheetData sheetId="1"/>
      <sheetData sheetId="2">
        <row r="41">
          <cell r="C41">
            <v>15088110.16</v>
          </cell>
        </row>
        <row r="42">
          <cell r="C42"/>
        </row>
        <row r="43">
          <cell r="C43">
            <v>620.84</v>
          </cell>
        </row>
        <row r="44">
          <cell r="C44"/>
        </row>
      </sheetData>
      <sheetData sheetId="3"/>
      <sheetData sheetId="4"/>
      <sheetData sheetId="5">
        <row r="41">
          <cell r="C41">
            <v>6487887.3600000003</v>
          </cell>
        </row>
        <row r="43">
          <cell r="C43">
            <v>266.95</v>
          </cell>
        </row>
      </sheetData>
      <sheetData sheetId="6"/>
      <sheetData sheetId="7">
        <row r="41">
          <cell r="C41">
            <v>2112335.46</v>
          </cell>
        </row>
        <row r="43">
          <cell r="C43">
            <v>86.91</v>
          </cell>
        </row>
      </sheetData>
      <sheetData sheetId="8">
        <row r="41">
          <cell r="C41">
            <v>2263216.52</v>
          </cell>
        </row>
        <row r="43">
          <cell r="C43">
            <v>93.13</v>
          </cell>
        </row>
      </sheetData>
      <sheetData sheetId="9">
        <row r="41">
          <cell r="C41">
            <v>2263216.52</v>
          </cell>
        </row>
        <row r="42">
          <cell r="C42"/>
        </row>
        <row r="43">
          <cell r="C43">
            <v>93.13</v>
          </cell>
        </row>
        <row r="44">
          <cell r="C44"/>
        </row>
      </sheetData>
      <sheetData sheetId="10">
        <row r="41">
          <cell r="C41">
            <v>1961454.3</v>
          </cell>
        </row>
        <row r="42">
          <cell r="C42"/>
        </row>
        <row r="43">
          <cell r="C43">
            <v>80.72</v>
          </cell>
        </row>
        <row r="44">
          <cell r="C44"/>
        </row>
      </sheetData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99E36B-37CC-4B45-B53E-2DB80BA25C02}">
  <dimension ref="C1:N9"/>
  <sheetViews>
    <sheetView workbookViewId="0">
      <selection activeCell="M11" sqref="M11"/>
    </sheetView>
  </sheetViews>
  <sheetFormatPr defaultRowHeight="15" x14ac:dyDescent="0.25"/>
  <cols>
    <col min="1" max="1" width="9.140625" style="40"/>
    <col min="2" max="2" width="19.5703125" style="40" bestFit="1" customWidth="1"/>
    <col min="3" max="3" width="19" style="40" bestFit="1" customWidth="1"/>
    <col min="4" max="4" width="14.28515625" style="40" bestFit="1" customWidth="1"/>
    <col min="5" max="5" width="10.5703125" style="40" customWidth="1"/>
    <col min="6" max="6" width="7.5703125" style="40" hidden="1" customWidth="1"/>
    <col min="7" max="7" width="40.85546875" style="40" customWidth="1"/>
    <col min="8" max="14" width="14.28515625" style="40" bestFit="1" customWidth="1"/>
    <col min="15" max="16384" width="9.140625" style="40"/>
  </cols>
  <sheetData>
    <row r="1" spans="3:14" ht="36" x14ac:dyDescent="0.55000000000000004">
      <c r="C1" s="132" t="s">
        <v>491</v>
      </c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</row>
    <row r="4" spans="3:14" x14ac:dyDescent="0.25">
      <c r="H4" s="5" t="s">
        <v>468</v>
      </c>
      <c r="I4" s="8" t="s">
        <v>492</v>
      </c>
    </row>
    <row r="5" spans="3:14" x14ac:dyDescent="0.25">
      <c r="G5" s="56" t="s">
        <v>464</v>
      </c>
      <c r="H5" s="73"/>
      <c r="I5" s="73">
        <f>H9</f>
        <v>28481917.41</v>
      </c>
    </row>
    <row r="6" spans="3:14" x14ac:dyDescent="0.25">
      <c r="G6" s="56" t="s">
        <v>469</v>
      </c>
      <c r="H6" s="73"/>
      <c r="I6" s="73">
        <f>'Budget 2022'!I34</f>
        <v>1268788.8000000031</v>
      </c>
    </row>
    <row r="7" spans="3:14" x14ac:dyDescent="0.25">
      <c r="G7" s="56" t="s">
        <v>465</v>
      </c>
      <c r="H7" s="73"/>
      <c r="I7" s="73">
        <v>-500000</v>
      </c>
    </row>
    <row r="8" spans="3:14" x14ac:dyDescent="0.25">
      <c r="G8" s="56" t="s">
        <v>466</v>
      </c>
      <c r="H8" s="73"/>
      <c r="I8" s="73">
        <f>-130000</f>
        <v>-130000</v>
      </c>
    </row>
    <row r="9" spans="3:14" x14ac:dyDescent="0.25">
      <c r="G9" s="56" t="s">
        <v>467</v>
      </c>
      <c r="H9" s="73">
        <v>28481917.41</v>
      </c>
      <c r="I9" s="73">
        <f>SUM(I5:I8)</f>
        <v>29120706.210000005</v>
      </c>
    </row>
  </sheetData>
  <sheetProtection algorithmName="SHA-512" hashValue="O78QsCSpSbBs3EBsRCs3WaYPdnvL6L2AUJHeIKixkwB99cZptf7UuZ13RiTKjjgvsQQCGnq5gj8Q6MsRO9lblQ==" saltValue="t+WVZsVdwbQcFKynTp7QlA==" spinCount="100000" sheet="1"/>
  <mergeCells count="1">
    <mergeCell ref="C1:N1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255"/>
  <sheetViews>
    <sheetView topLeftCell="A87" workbookViewId="0">
      <selection activeCell="K110" sqref="K110"/>
    </sheetView>
  </sheetViews>
  <sheetFormatPr defaultRowHeight="15" x14ac:dyDescent="0.25"/>
  <cols>
    <col min="1" max="1" width="17.7109375" bestFit="1" customWidth="1"/>
    <col min="2" max="2" width="48.7109375" bestFit="1" customWidth="1"/>
    <col min="3" max="3" width="12.85546875" style="70" bestFit="1" customWidth="1"/>
    <col min="4" max="4" width="13.28515625" style="70" customWidth="1"/>
    <col min="5" max="5" width="10.28515625" style="70" hidden="1" customWidth="1"/>
    <col min="6" max="6" width="19.42578125" style="70" hidden="1" customWidth="1"/>
    <col min="7" max="7" width="12.85546875" style="70" hidden="1" customWidth="1"/>
    <col min="8" max="8" width="12.85546875" style="70" customWidth="1"/>
    <col min="9" max="9" width="13.28515625" style="103" bestFit="1" customWidth="1"/>
    <col min="10" max="10" width="19.42578125" style="89" bestFit="1" customWidth="1"/>
    <col min="11" max="11" width="18" style="103" bestFit="1" customWidth="1"/>
    <col min="14" max="14" width="9.140625" style="40"/>
  </cols>
  <sheetData>
    <row r="1" spans="1:11" x14ac:dyDescent="0.25">
      <c r="A1" s="31" t="s">
        <v>0</v>
      </c>
      <c r="B1" s="30"/>
      <c r="J1" s="103"/>
    </row>
    <row r="2" spans="1:11" x14ac:dyDescent="0.25">
      <c r="A2" s="32" t="s">
        <v>1</v>
      </c>
      <c r="B2" s="32" t="s">
        <v>2</v>
      </c>
      <c r="J2" s="103"/>
    </row>
    <row r="3" spans="1:11" x14ac:dyDescent="0.25">
      <c r="A3" s="32" t="s">
        <v>3</v>
      </c>
      <c r="B3" s="32" t="s">
        <v>4</v>
      </c>
      <c r="J3" s="103"/>
    </row>
    <row r="4" spans="1:11" x14ac:dyDescent="0.25">
      <c r="A4" s="32" t="s">
        <v>412</v>
      </c>
      <c r="B4" s="32" t="s">
        <v>418</v>
      </c>
      <c r="J4" s="103"/>
    </row>
    <row r="5" spans="1:11" x14ac:dyDescent="0.25">
      <c r="J5" s="103"/>
    </row>
    <row r="6" spans="1:11" x14ac:dyDescent="0.25">
      <c r="A6" s="32" t="s">
        <v>5</v>
      </c>
      <c r="B6" s="32" t="s">
        <v>6</v>
      </c>
      <c r="J6" s="103"/>
    </row>
    <row r="7" spans="1:11" x14ac:dyDescent="0.25">
      <c r="J7" s="103"/>
    </row>
    <row r="8" spans="1:11" ht="30" x14ac:dyDescent="0.25">
      <c r="A8" s="30"/>
      <c r="B8" s="30"/>
      <c r="C8" s="71" t="s">
        <v>7</v>
      </c>
      <c r="D8" s="71" t="s">
        <v>8</v>
      </c>
      <c r="E8" s="71" t="s">
        <v>9</v>
      </c>
      <c r="F8" s="71" t="s">
        <v>10</v>
      </c>
      <c r="G8" s="71" t="s">
        <v>11</v>
      </c>
      <c r="H8" s="68" t="s">
        <v>428</v>
      </c>
      <c r="I8" s="118" t="s">
        <v>486</v>
      </c>
      <c r="J8" s="96" t="s">
        <v>472</v>
      </c>
      <c r="K8" s="96" t="s">
        <v>473</v>
      </c>
    </row>
    <row r="9" spans="1:11" x14ac:dyDescent="0.25">
      <c r="A9" s="33" t="s">
        <v>12</v>
      </c>
      <c r="B9" s="33" t="s">
        <v>13</v>
      </c>
      <c r="C9" s="71" t="s">
        <v>478</v>
      </c>
      <c r="D9" s="71">
        <v>2021</v>
      </c>
      <c r="E9" s="71"/>
      <c r="F9" s="71"/>
      <c r="G9" s="71"/>
      <c r="H9" s="68">
        <v>2021</v>
      </c>
      <c r="I9" s="96">
        <v>2021</v>
      </c>
      <c r="J9" s="95">
        <v>2022</v>
      </c>
      <c r="K9" s="96">
        <v>2023</v>
      </c>
    </row>
    <row r="10" spans="1:11" x14ac:dyDescent="0.25">
      <c r="A10" s="32" t="s">
        <v>12</v>
      </c>
      <c r="B10" s="32" t="s">
        <v>12</v>
      </c>
      <c r="I10" s="119"/>
      <c r="J10" s="119"/>
      <c r="K10" s="119"/>
    </row>
    <row r="11" spans="1:11" x14ac:dyDescent="0.25">
      <c r="A11" s="32" t="s">
        <v>14</v>
      </c>
      <c r="B11" s="32" t="s">
        <v>15</v>
      </c>
      <c r="C11" s="70">
        <v>5118841.3499999996</v>
      </c>
      <c r="D11" s="70">
        <v>11245375.560000001</v>
      </c>
      <c r="E11" s="70">
        <v>54.48</v>
      </c>
      <c r="F11" s="70">
        <v>45.52</v>
      </c>
      <c r="G11" s="70">
        <v>6126534.21</v>
      </c>
      <c r="H11" s="103">
        <v>9948904.7719312049</v>
      </c>
      <c r="I11" s="119">
        <f>I46</f>
        <v>9948904.7719312049</v>
      </c>
      <c r="J11" s="93">
        <f>J46</f>
        <v>10277812</v>
      </c>
      <c r="K11" s="119">
        <f>K46</f>
        <v>10277812</v>
      </c>
    </row>
    <row r="12" spans="1:11" x14ac:dyDescent="0.25">
      <c r="A12" s="32" t="s">
        <v>16</v>
      </c>
      <c r="B12" s="32" t="s">
        <v>17</v>
      </c>
      <c r="C12" s="70">
        <v>59779.95</v>
      </c>
      <c r="D12" s="70">
        <v>580000</v>
      </c>
      <c r="E12" s="70">
        <v>89.69</v>
      </c>
      <c r="F12" s="70">
        <v>10.31</v>
      </c>
      <c r="G12" s="70">
        <v>520220.05</v>
      </c>
      <c r="H12" s="70">
        <v>768350.2</v>
      </c>
      <c r="I12" s="119">
        <f>I59</f>
        <v>753196.8</v>
      </c>
      <c r="J12" s="93">
        <f>J59</f>
        <v>753196.8</v>
      </c>
      <c r="K12" s="119">
        <f>K59</f>
        <v>753196.8</v>
      </c>
    </row>
    <row r="13" spans="1:11" x14ac:dyDescent="0.25">
      <c r="A13" s="32" t="s">
        <v>18</v>
      </c>
      <c r="B13" s="32" t="s">
        <v>19</v>
      </c>
      <c r="H13" s="70">
        <v>0</v>
      </c>
      <c r="I13" s="119">
        <f>I63</f>
        <v>0</v>
      </c>
      <c r="J13" s="93">
        <f>J63</f>
        <v>0</v>
      </c>
      <c r="K13" s="119">
        <f>K63</f>
        <v>0</v>
      </c>
    </row>
    <row r="14" spans="1:11" x14ac:dyDescent="0.25">
      <c r="A14" s="33" t="s">
        <v>20</v>
      </c>
      <c r="B14" s="33" t="s">
        <v>21</v>
      </c>
      <c r="C14" s="71">
        <v>5178621.3</v>
      </c>
      <c r="D14" s="71">
        <v>11825375.560000001</v>
      </c>
      <c r="E14" s="71">
        <v>56.21</v>
      </c>
      <c r="F14" s="71">
        <v>43.79</v>
      </c>
      <c r="G14" s="71">
        <v>6646754.2599999998</v>
      </c>
      <c r="H14" s="90">
        <v>10717254.971931204</v>
      </c>
      <c r="I14" s="96">
        <f>SUM(I11:I13)</f>
        <v>10702101.571931206</v>
      </c>
      <c r="J14" s="95">
        <f>SUM(J11:J13)</f>
        <v>11031008.800000001</v>
      </c>
      <c r="K14" s="96">
        <f>SUM(K11:K13)</f>
        <v>11031008.800000001</v>
      </c>
    </row>
    <row r="15" spans="1:11" x14ac:dyDescent="0.25">
      <c r="A15" s="32" t="s">
        <v>12</v>
      </c>
      <c r="B15" s="32" t="s">
        <v>12</v>
      </c>
      <c r="I15" s="119"/>
      <c r="J15" s="119"/>
      <c r="K15" s="119"/>
    </row>
    <row r="16" spans="1:11" x14ac:dyDescent="0.25">
      <c r="A16" s="33" t="s">
        <v>12</v>
      </c>
      <c r="B16" s="33" t="s">
        <v>22</v>
      </c>
      <c r="C16" s="71"/>
      <c r="D16" s="71"/>
      <c r="E16" s="71"/>
      <c r="F16" s="71"/>
      <c r="G16" s="71"/>
      <c r="H16" s="71"/>
      <c r="I16" s="96"/>
      <c r="J16" s="95"/>
      <c r="K16" s="96"/>
    </row>
    <row r="17" spans="1:11" x14ac:dyDescent="0.25">
      <c r="A17" s="32" t="s">
        <v>23</v>
      </c>
      <c r="B17" s="32" t="s">
        <v>24</v>
      </c>
      <c r="I17" s="119"/>
      <c r="J17" s="93"/>
      <c r="K17" s="119"/>
    </row>
    <row r="18" spans="1:11" x14ac:dyDescent="0.25">
      <c r="A18" s="32" t="s">
        <v>25</v>
      </c>
      <c r="B18" s="32" t="s">
        <v>26</v>
      </c>
      <c r="C18" s="70">
        <v>-168399.45</v>
      </c>
      <c r="D18" s="70">
        <v>-36000</v>
      </c>
      <c r="E18" s="70">
        <v>-367.78</v>
      </c>
      <c r="F18" s="70">
        <v>467.78</v>
      </c>
      <c r="G18" s="70">
        <v>132399.45000000001</v>
      </c>
      <c r="H18" s="70">
        <v>-168399.45</v>
      </c>
      <c r="I18" s="119">
        <f>I77</f>
        <v>-168399.45</v>
      </c>
      <c r="J18" s="93">
        <f>J77</f>
        <v>-168399.45</v>
      </c>
      <c r="K18" s="119">
        <f>K77</f>
        <v>-168399.45</v>
      </c>
    </row>
    <row r="19" spans="1:11" x14ac:dyDescent="0.25">
      <c r="A19" s="32" t="s">
        <v>27</v>
      </c>
      <c r="B19" s="32" t="s">
        <v>28</v>
      </c>
      <c r="I19" s="119"/>
      <c r="J19" s="93"/>
      <c r="K19" s="119"/>
    </row>
    <row r="20" spans="1:11" x14ac:dyDescent="0.25">
      <c r="A20" s="32" t="s">
        <v>12</v>
      </c>
      <c r="B20" s="32" t="s">
        <v>12</v>
      </c>
      <c r="I20" s="119"/>
      <c r="J20" s="93"/>
      <c r="K20" s="119"/>
    </row>
    <row r="21" spans="1:11" x14ac:dyDescent="0.25">
      <c r="A21" s="32" t="s">
        <v>29</v>
      </c>
      <c r="B21" s="32" t="s">
        <v>30</v>
      </c>
      <c r="C21" s="70">
        <v>-3785763.66</v>
      </c>
      <c r="D21" s="70">
        <v>-7829195.2699999996</v>
      </c>
      <c r="E21" s="70">
        <v>51.65</v>
      </c>
      <c r="F21" s="70">
        <v>48.35</v>
      </c>
      <c r="G21" s="70">
        <v>-4043431.61</v>
      </c>
      <c r="H21" s="70">
        <v>-6770322.7699999996</v>
      </c>
      <c r="I21" s="119">
        <f>I123</f>
        <v>-5416680.3099999996</v>
      </c>
      <c r="J21" s="93">
        <f>J123</f>
        <v>-5416680.3099999996</v>
      </c>
      <c r="K21" s="119">
        <f>K123</f>
        <v>-5036736.45</v>
      </c>
    </row>
    <row r="22" spans="1:11" x14ac:dyDescent="0.25">
      <c r="A22" s="33" t="s">
        <v>31</v>
      </c>
      <c r="B22" s="33" t="s">
        <v>32</v>
      </c>
      <c r="C22" s="71">
        <v>-3954163.11</v>
      </c>
      <c r="D22" s="71">
        <v>-7865195.2699999996</v>
      </c>
      <c r="E22" s="71">
        <v>49.73</v>
      </c>
      <c r="F22" s="71">
        <v>50.27</v>
      </c>
      <c r="G22" s="71">
        <v>-3911032.16</v>
      </c>
      <c r="H22" s="71">
        <v>-6770322.7699999996</v>
      </c>
      <c r="I22" s="96">
        <f>I21</f>
        <v>-5416680.3099999996</v>
      </c>
      <c r="J22" s="95">
        <f>J21</f>
        <v>-5416680.3099999996</v>
      </c>
      <c r="K22" s="96">
        <f>K21</f>
        <v>-5036736.45</v>
      </c>
    </row>
    <row r="23" spans="1:11" x14ac:dyDescent="0.25">
      <c r="A23" s="32" t="s">
        <v>12</v>
      </c>
      <c r="B23" s="32" t="s">
        <v>12</v>
      </c>
      <c r="I23" s="119"/>
      <c r="J23" s="93"/>
      <c r="K23" s="119"/>
    </row>
    <row r="24" spans="1:11" x14ac:dyDescent="0.25">
      <c r="A24" s="32" t="s">
        <v>33</v>
      </c>
      <c r="B24" s="32" t="s">
        <v>34</v>
      </c>
      <c r="C24" s="70">
        <v>3850</v>
      </c>
      <c r="D24" s="70">
        <v>266100</v>
      </c>
      <c r="E24" s="70">
        <v>98.55</v>
      </c>
      <c r="F24" s="70">
        <v>1.45</v>
      </c>
      <c r="G24" s="70">
        <v>262250</v>
      </c>
      <c r="H24" s="70">
        <v>116100</v>
      </c>
      <c r="I24" s="119">
        <f>I136</f>
        <v>116100</v>
      </c>
      <c r="J24" s="93">
        <f>J136</f>
        <v>116100</v>
      </c>
      <c r="K24" s="119">
        <f>K136</f>
        <v>116100</v>
      </c>
    </row>
    <row r="25" spans="1:11" x14ac:dyDescent="0.25">
      <c r="A25" s="32" t="s">
        <v>35</v>
      </c>
      <c r="B25" s="32" t="s">
        <v>36</v>
      </c>
      <c r="C25" s="70">
        <v>-1279994.8799999999</v>
      </c>
      <c r="D25" s="70">
        <v>-3693370.29</v>
      </c>
      <c r="E25" s="70">
        <v>65.34</v>
      </c>
      <c r="F25" s="70">
        <v>34.659999999999997</v>
      </c>
      <c r="G25" s="70">
        <v>-2413375.41</v>
      </c>
      <c r="H25" s="70">
        <v>-3693698.4315999998</v>
      </c>
      <c r="I25" s="119">
        <f>I198</f>
        <v>-2593951.4176000003</v>
      </c>
      <c r="J25" s="93">
        <f>J198</f>
        <v>-3199269.8830749998</v>
      </c>
      <c r="K25" s="119">
        <f>K198</f>
        <v>-2863523.7530049998</v>
      </c>
    </row>
    <row r="26" spans="1:11" x14ac:dyDescent="0.25">
      <c r="A26" s="32" t="s">
        <v>37</v>
      </c>
      <c r="B26" s="32" t="s">
        <v>38</v>
      </c>
      <c r="D26" s="70">
        <v>42000</v>
      </c>
      <c r="E26" s="70">
        <v>100</v>
      </c>
      <c r="G26" s="70">
        <v>42000</v>
      </c>
      <c r="H26" s="70">
        <v>1000</v>
      </c>
      <c r="I26" s="119">
        <f>I209</f>
        <v>0</v>
      </c>
      <c r="J26" s="93">
        <f>J209</f>
        <v>0</v>
      </c>
      <c r="K26" s="119">
        <f>K209</f>
        <v>0</v>
      </c>
    </row>
    <row r="27" spans="1:11" x14ac:dyDescent="0.25">
      <c r="A27" s="32" t="s">
        <v>39</v>
      </c>
      <c r="B27" s="32" t="s">
        <v>40</v>
      </c>
      <c r="C27" s="70">
        <v>-1934.01</v>
      </c>
      <c r="G27" s="70">
        <v>1934.01</v>
      </c>
      <c r="H27" s="70">
        <v>-1934.01</v>
      </c>
      <c r="I27" s="119">
        <f>I219</f>
        <v>0</v>
      </c>
      <c r="J27" s="93">
        <f>J219</f>
        <v>0</v>
      </c>
      <c r="K27" s="119">
        <f>K219</f>
        <v>0</v>
      </c>
    </row>
    <row r="28" spans="1:11" x14ac:dyDescent="0.25">
      <c r="A28" s="32" t="s">
        <v>41</v>
      </c>
      <c r="B28" s="32" t="s">
        <v>42</v>
      </c>
      <c r="H28" s="70">
        <v>0</v>
      </c>
      <c r="I28" s="119">
        <f>I223</f>
        <v>0</v>
      </c>
      <c r="J28" s="93">
        <f>J223</f>
        <v>0</v>
      </c>
      <c r="K28" s="119">
        <f>K223</f>
        <v>0</v>
      </c>
    </row>
    <row r="29" spans="1:11" x14ac:dyDescent="0.25">
      <c r="A29" s="32" t="s">
        <v>43</v>
      </c>
      <c r="B29" s="32" t="s">
        <v>44</v>
      </c>
      <c r="H29" s="70">
        <v>0</v>
      </c>
      <c r="I29" s="119">
        <f>I227</f>
        <v>0</v>
      </c>
      <c r="J29" s="93">
        <f>J227</f>
        <v>0</v>
      </c>
      <c r="K29" s="119">
        <f>K227</f>
        <v>0</v>
      </c>
    </row>
    <row r="30" spans="1:11" x14ac:dyDescent="0.25">
      <c r="A30" s="32" t="s">
        <v>12</v>
      </c>
      <c r="B30" s="32" t="s">
        <v>12</v>
      </c>
      <c r="I30" s="119"/>
      <c r="J30" s="93"/>
      <c r="K30" s="119"/>
    </row>
    <row r="31" spans="1:11" ht="15.75" thickBot="1" x14ac:dyDescent="0.3">
      <c r="A31" s="34" t="s">
        <v>45</v>
      </c>
      <c r="B31" s="34" t="s">
        <v>46</v>
      </c>
      <c r="C31" s="72">
        <v>-53620.7</v>
      </c>
      <c r="D31" s="72">
        <v>574910</v>
      </c>
      <c r="E31" s="72">
        <v>109.33</v>
      </c>
      <c r="F31" s="72">
        <v>-9.33</v>
      </c>
      <c r="G31" s="72">
        <v>628530.69999999995</v>
      </c>
      <c r="H31" s="72">
        <v>200000.3103312056</v>
      </c>
      <c r="I31" s="122">
        <f>I14+I18+I22+I24+I25+I26+I27</f>
        <v>2639170.3943312066</v>
      </c>
      <c r="J31" s="101">
        <f>J14+J18+J22+J24+J25+J26+J27</f>
        <v>2362759.1569250021</v>
      </c>
      <c r="K31" s="122">
        <f>K14+K18+K22+K24+K25+K26+K27</f>
        <v>3078449.1469950015</v>
      </c>
    </row>
    <row r="32" spans="1:11" ht="15.75" thickTop="1" x14ac:dyDescent="0.25">
      <c r="A32" s="32" t="s">
        <v>12</v>
      </c>
      <c r="B32" s="32" t="s">
        <v>12</v>
      </c>
      <c r="I32" s="119"/>
      <c r="J32" s="93"/>
      <c r="K32" s="119"/>
    </row>
    <row r="33" spans="1:14" x14ac:dyDescent="0.25">
      <c r="A33" s="32" t="s">
        <v>47</v>
      </c>
      <c r="B33" s="32" t="s">
        <v>48</v>
      </c>
      <c r="C33" s="70">
        <v>-206904.92</v>
      </c>
      <c r="D33" s="70">
        <v>-502945</v>
      </c>
      <c r="E33" s="70">
        <v>58.86</v>
      </c>
      <c r="F33" s="70">
        <v>41.14</v>
      </c>
      <c r="G33" s="70">
        <v>-296040.08</v>
      </c>
      <c r="H33" s="70">
        <v>-380594.32</v>
      </c>
      <c r="I33" s="119">
        <f>I243</f>
        <v>-341818.28</v>
      </c>
      <c r="J33" s="93">
        <f>J243</f>
        <v>-391818.28</v>
      </c>
      <c r="K33" s="119">
        <f>K243</f>
        <v>-391818.28</v>
      </c>
    </row>
    <row r="34" spans="1:14" x14ac:dyDescent="0.25">
      <c r="A34" s="32" t="s">
        <v>12</v>
      </c>
      <c r="B34" s="32" t="s">
        <v>12</v>
      </c>
      <c r="I34" s="119"/>
      <c r="J34" s="93"/>
      <c r="K34" s="119"/>
    </row>
    <row r="35" spans="1:14" ht="15.75" thickBot="1" x14ac:dyDescent="0.3">
      <c r="A35" s="34" t="s">
        <v>12</v>
      </c>
      <c r="B35" s="34" t="s">
        <v>49</v>
      </c>
      <c r="C35" s="72">
        <v>-260525.62</v>
      </c>
      <c r="D35" s="72">
        <v>71965</v>
      </c>
      <c r="E35" s="72">
        <v>462.02</v>
      </c>
      <c r="F35" s="72">
        <v>-362.02</v>
      </c>
      <c r="G35" s="72">
        <v>332490.62</v>
      </c>
      <c r="H35" s="72">
        <v>-180594.0096687944</v>
      </c>
      <c r="I35" s="122">
        <f>I31+I33</f>
        <v>2297352.1143312063</v>
      </c>
      <c r="J35" s="101">
        <f>J31+J33</f>
        <v>1970940.8769250021</v>
      </c>
      <c r="K35" s="122">
        <f>K31+K33</f>
        <v>2686630.8669950012</v>
      </c>
    </row>
    <row r="36" spans="1:14" ht="15.75" thickTop="1" x14ac:dyDescent="0.25">
      <c r="A36" s="32" t="s">
        <v>12</v>
      </c>
      <c r="B36" s="32" t="s">
        <v>12</v>
      </c>
    </row>
    <row r="37" spans="1:14" x14ac:dyDescent="0.25">
      <c r="A37" s="33" t="s">
        <v>12</v>
      </c>
      <c r="B37" s="33" t="s">
        <v>50</v>
      </c>
      <c r="C37" s="71"/>
      <c r="D37" s="71"/>
      <c r="E37" s="71"/>
      <c r="F37" s="71"/>
      <c r="G37" s="71"/>
      <c r="H37" s="71"/>
      <c r="I37" s="90"/>
      <c r="J37" s="127"/>
      <c r="K37" s="90"/>
    </row>
    <row r="38" spans="1:14" x14ac:dyDescent="0.25">
      <c r="A38" s="32" t="s">
        <v>12</v>
      </c>
      <c r="B38" s="32" t="s">
        <v>12</v>
      </c>
    </row>
    <row r="39" spans="1:14" x14ac:dyDescent="0.25">
      <c r="A39" s="33" t="s">
        <v>51</v>
      </c>
      <c r="B39" s="33" t="s">
        <v>52</v>
      </c>
      <c r="C39" s="71"/>
      <c r="D39" s="71"/>
      <c r="E39" s="71"/>
      <c r="F39" s="71"/>
      <c r="G39" s="71"/>
      <c r="H39" s="71"/>
      <c r="I39" s="90"/>
      <c r="J39" s="127"/>
      <c r="K39" s="90"/>
    </row>
    <row r="40" spans="1:14" x14ac:dyDescent="0.25">
      <c r="A40" s="32" t="s">
        <v>53</v>
      </c>
      <c r="B40" s="32" t="s">
        <v>54</v>
      </c>
      <c r="C40" s="70">
        <v>4041122.3</v>
      </c>
      <c r="D40" s="70">
        <v>8966527.3800000008</v>
      </c>
      <c r="E40" s="70">
        <v>54.93</v>
      </c>
      <c r="F40" s="70">
        <v>45.07</v>
      </c>
      <c r="G40" s="70">
        <v>4925405.08</v>
      </c>
      <c r="H40" s="70">
        <v>7833075.8423545929</v>
      </c>
      <c r="I40" s="103">
        <f>DATAARK!C29</f>
        <v>7833075.8423545929</v>
      </c>
      <c r="J40" s="128">
        <f>DATAARK!D8</f>
        <v>8160008</v>
      </c>
      <c r="K40" s="128">
        <f>DATAARK!D9</f>
        <v>8160008</v>
      </c>
      <c r="N40" s="40">
        <f t="shared" ref="N40:N45" si="0">IF(J40&gt;0,0,2)</f>
        <v>0</v>
      </c>
    </row>
    <row r="41" spans="1:14" x14ac:dyDescent="0.25">
      <c r="A41" s="32" t="s">
        <v>55</v>
      </c>
      <c r="B41" s="32" t="s">
        <v>56</v>
      </c>
      <c r="C41" s="70">
        <v>8483.33</v>
      </c>
      <c r="D41" s="70">
        <v>509120</v>
      </c>
      <c r="E41" s="70">
        <v>98.33</v>
      </c>
      <c r="F41" s="70">
        <v>1.67</v>
      </c>
      <c r="G41" s="70">
        <v>500636.67</v>
      </c>
      <c r="H41" s="70">
        <v>182251.20957661141</v>
      </c>
      <c r="I41" s="103">
        <f>DATAARK!C43</f>
        <v>182251.20957661141</v>
      </c>
      <c r="J41" s="128">
        <f>DATAARK!D14</f>
        <v>356384</v>
      </c>
      <c r="K41" s="128">
        <f>DATAARK!D15</f>
        <v>356384</v>
      </c>
      <c r="N41" s="40">
        <f t="shared" si="0"/>
        <v>0</v>
      </c>
    </row>
    <row r="42" spans="1:14" x14ac:dyDescent="0.25">
      <c r="A42" s="32" t="s">
        <v>57</v>
      </c>
      <c r="B42" s="32" t="s">
        <v>58</v>
      </c>
      <c r="C42" s="70">
        <v>15024.57</v>
      </c>
      <c r="G42" s="70">
        <v>-15024.57</v>
      </c>
      <c r="N42" s="40">
        <f t="shared" si="0"/>
        <v>2</v>
      </c>
    </row>
    <row r="43" spans="1:14" x14ac:dyDescent="0.25">
      <c r="A43" s="32" t="s">
        <v>59</v>
      </c>
      <c r="B43" s="32" t="s">
        <v>60</v>
      </c>
      <c r="C43" s="70">
        <v>1343.43</v>
      </c>
      <c r="D43" s="70">
        <v>8308.18</v>
      </c>
      <c r="E43" s="70">
        <v>83.83</v>
      </c>
      <c r="F43" s="70">
        <v>16.170000000000002</v>
      </c>
      <c r="G43" s="70">
        <v>6964.75</v>
      </c>
      <c r="N43" s="40">
        <f t="shared" si="0"/>
        <v>2</v>
      </c>
    </row>
    <row r="44" spans="1:14" x14ac:dyDescent="0.25">
      <c r="A44" s="32" t="s">
        <v>61</v>
      </c>
      <c r="B44" s="32" t="s">
        <v>62</v>
      </c>
      <c r="C44" s="70">
        <v>880710</v>
      </c>
      <c r="D44" s="70">
        <v>1761420</v>
      </c>
      <c r="E44" s="70">
        <v>50</v>
      </c>
      <c r="F44" s="70">
        <v>50</v>
      </c>
      <c r="G44" s="70">
        <v>880710</v>
      </c>
      <c r="H44" s="70">
        <v>1761420</v>
      </c>
      <c r="I44" s="103">
        <v>1761420</v>
      </c>
      <c r="J44" s="129">
        <f>DATAARK!D10</f>
        <v>1761420</v>
      </c>
      <c r="K44" s="109">
        <f>DATAARK!D11</f>
        <v>1761420</v>
      </c>
      <c r="N44" s="40">
        <f t="shared" si="0"/>
        <v>0</v>
      </c>
    </row>
    <row r="45" spans="1:14" x14ac:dyDescent="0.25">
      <c r="A45" s="32" t="s">
        <v>63</v>
      </c>
      <c r="B45" s="32" t="s">
        <v>64</v>
      </c>
      <c r="C45" s="70">
        <v>172157.72</v>
      </c>
      <c r="G45" s="70">
        <v>-172157.72</v>
      </c>
      <c r="H45" s="70">
        <v>172157.72</v>
      </c>
      <c r="I45" s="103">
        <f>C45</f>
        <v>172157.72</v>
      </c>
      <c r="J45" s="129">
        <f>DATAARK!D12</f>
        <v>0</v>
      </c>
      <c r="K45" s="109">
        <f>DATAARK!D13</f>
        <v>0</v>
      </c>
      <c r="N45" s="40">
        <f t="shared" si="0"/>
        <v>2</v>
      </c>
    </row>
    <row r="46" spans="1:14" x14ac:dyDescent="0.25">
      <c r="A46" s="33" t="s">
        <v>65</v>
      </c>
      <c r="B46" s="33" t="s">
        <v>66</v>
      </c>
      <c r="C46" s="71">
        <v>5118841.3499999996</v>
      </c>
      <c r="D46" s="71">
        <v>11245375.560000001</v>
      </c>
      <c r="E46" s="71">
        <v>54.48</v>
      </c>
      <c r="F46" s="71">
        <v>45.52</v>
      </c>
      <c r="G46" s="71">
        <v>6126534.21</v>
      </c>
      <c r="H46" s="127">
        <v>9948904.7719312049</v>
      </c>
      <c r="I46" s="127">
        <f>SUM(I40:I45)</f>
        <v>9948904.7719312049</v>
      </c>
      <c r="J46" s="127">
        <f>SUM(J40:J45)</f>
        <v>10277812</v>
      </c>
      <c r="K46" s="90">
        <f>SUM(K40:K45)</f>
        <v>10277812</v>
      </c>
    </row>
    <row r="47" spans="1:14" x14ac:dyDescent="0.25">
      <c r="A47" s="32" t="s">
        <v>12</v>
      </c>
      <c r="B47" s="32" t="s">
        <v>12</v>
      </c>
    </row>
    <row r="48" spans="1:14" x14ac:dyDescent="0.25">
      <c r="A48" s="33" t="s">
        <v>67</v>
      </c>
      <c r="B48" s="33" t="s">
        <v>68</v>
      </c>
      <c r="C48" s="71"/>
      <c r="D48" s="71"/>
      <c r="E48" s="71"/>
      <c r="F48" s="71"/>
      <c r="G48" s="71"/>
      <c r="H48" s="71"/>
      <c r="I48" s="90"/>
      <c r="J48" s="127"/>
      <c r="K48" s="90"/>
    </row>
    <row r="49" spans="1:14" x14ac:dyDescent="0.25">
      <c r="A49" s="32" t="s">
        <v>69</v>
      </c>
      <c r="B49" s="32" t="s">
        <v>70</v>
      </c>
      <c r="J49" s="89">
        <f>I49*DATAARK!$B$3</f>
        <v>0</v>
      </c>
      <c r="K49" s="89">
        <f>J49*DATAARK!$C$3</f>
        <v>0</v>
      </c>
      <c r="N49" s="40">
        <f t="shared" ref="N49:N58" si="1">IF(J49&gt;0,0,2)</f>
        <v>2</v>
      </c>
    </row>
    <row r="50" spans="1:14" x14ac:dyDescent="0.25">
      <c r="A50" s="32" t="s">
        <v>71</v>
      </c>
      <c r="B50" s="32" t="s">
        <v>72</v>
      </c>
      <c r="C50" s="70">
        <v>15153.4</v>
      </c>
      <c r="G50" s="70">
        <v>-15153.4</v>
      </c>
      <c r="H50" s="70">
        <v>15153.4</v>
      </c>
      <c r="J50" s="89">
        <f>I50*DATAARK!$B$3</f>
        <v>0</v>
      </c>
      <c r="K50" s="89">
        <f>J50*DATAARK!$C$3</f>
        <v>0</v>
      </c>
      <c r="N50" s="40">
        <f t="shared" si="1"/>
        <v>2</v>
      </c>
    </row>
    <row r="51" spans="1:14" x14ac:dyDescent="0.25">
      <c r="A51" s="32" t="s">
        <v>73</v>
      </c>
      <c r="B51" s="32" t="s">
        <v>74</v>
      </c>
      <c r="J51" s="89">
        <f>I51*DATAARK!$B$3</f>
        <v>0</v>
      </c>
      <c r="K51" s="89">
        <f>J51*DATAARK!$C$3</f>
        <v>0</v>
      </c>
      <c r="N51" s="40">
        <f t="shared" si="1"/>
        <v>2</v>
      </c>
    </row>
    <row r="52" spans="1:14" x14ac:dyDescent="0.25">
      <c r="A52" s="32" t="s">
        <v>75</v>
      </c>
      <c r="B52" s="32" t="s">
        <v>76</v>
      </c>
      <c r="C52" s="70">
        <v>18000</v>
      </c>
      <c r="G52" s="70">
        <v>-18000</v>
      </c>
      <c r="H52" s="70">
        <v>18000</v>
      </c>
      <c r="I52" s="103">
        <v>18000</v>
      </c>
      <c r="J52" s="89">
        <f>I52*DATAARK!$B$3</f>
        <v>18000</v>
      </c>
      <c r="K52" s="89">
        <f>J52*DATAARK!$C$3</f>
        <v>18000</v>
      </c>
      <c r="N52" s="40">
        <f t="shared" si="1"/>
        <v>0</v>
      </c>
    </row>
    <row r="53" spans="1:14" x14ac:dyDescent="0.25">
      <c r="A53" s="32" t="s">
        <v>77</v>
      </c>
      <c r="B53" s="32" t="s">
        <v>78</v>
      </c>
      <c r="J53" s="89">
        <f>I53*DATAARK!$B$3</f>
        <v>0</v>
      </c>
      <c r="K53" s="89">
        <f>J53*DATAARK!$C$3</f>
        <v>0</v>
      </c>
      <c r="N53" s="40">
        <f t="shared" si="1"/>
        <v>2</v>
      </c>
    </row>
    <row r="54" spans="1:14" x14ac:dyDescent="0.25">
      <c r="A54" s="32" t="s">
        <v>79</v>
      </c>
      <c r="B54" s="32" t="s">
        <v>80</v>
      </c>
      <c r="J54" s="89">
        <f>I54*DATAARK!$B$3</f>
        <v>0</v>
      </c>
      <c r="K54" s="89">
        <f>J54*DATAARK!$C$3</f>
        <v>0</v>
      </c>
      <c r="N54" s="40">
        <f t="shared" si="1"/>
        <v>2</v>
      </c>
    </row>
    <row r="55" spans="1:14" x14ac:dyDescent="0.25">
      <c r="A55" s="32" t="s">
        <v>81</v>
      </c>
      <c r="B55" s="32" t="s">
        <v>82</v>
      </c>
      <c r="C55" s="70">
        <v>5196.8</v>
      </c>
      <c r="G55" s="70">
        <v>-5196.8</v>
      </c>
      <c r="H55" s="70">
        <v>5196.8</v>
      </c>
      <c r="I55" s="103">
        <f>C55</f>
        <v>5196.8</v>
      </c>
      <c r="J55" s="89">
        <f>I55*DATAARK!$B$3</f>
        <v>5196.8</v>
      </c>
      <c r="K55" s="89">
        <f>J55*DATAARK!$C$3</f>
        <v>5196.8</v>
      </c>
      <c r="N55" s="40">
        <f t="shared" si="1"/>
        <v>0</v>
      </c>
    </row>
    <row r="56" spans="1:14" x14ac:dyDescent="0.25">
      <c r="A56" s="32" t="s">
        <v>83</v>
      </c>
      <c r="B56" s="32" t="s">
        <v>84</v>
      </c>
      <c r="C56" s="70">
        <v>21429.75</v>
      </c>
      <c r="D56" s="70">
        <v>400000</v>
      </c>
      <c r="E56" s="70">
        <v>94.64</v>
      </c>
      <c r="F56" s="70">
        <v>5.36</v>
      </c>
      <c r="G56" s="70">
        <v>378570.25</v>
      </c>
      <c r="H56" s="70">
        <v>400000</v>
      </c>
      <c r="I56" s="103">
        <v>400000</v>
      </c>
      <c r="J56" s="89">
        <f>I56*DATAARK!$B$3</f>
        <v>400000</v>
      </c>
      <c r="K56" s="89">
        <f>J56*DATAARK!$C$3</f>
        <v>400000</v>
      </c>
      <c r="N56" s="40">
        <f t="shared" si="1"/>
        <v>0</v>
      </c>
    </row>
    <row r="57" spans="1:14" x14ac:dyDescent="0.25">
      <c r="A57" s="32" t="s">
        <v>85</v>
      </c>
      <c r="B57" s="32" t="s">
        <v>86</v>
      </c>
      <c r="J57" s="89">
        <f>I57*DATAARK!$B$3</f>
        <v>0</v>
      </c>
      <c r="K57" s="89">
        <f>J57*DATAARK!$C$3</f>
        <v>0</v>
      </c>
      <c r="N57" s="40">
        <f t="shared" si="1"/>
        <v>2</v>
      </c>
    </row>
    <row r="58" spans="1:14" x14ac:dyDescent="0.25">
      <c r="A58" s="32" t="s">
        <v>87</v>
      </c>
      <c r="B58" s="32" t="s">
        <v>88</v>
      </c>
      <c r="D58" s="70">
        <v>180000</v>
      </c>
      <c r="E58" s="70">
        <v>100</v>
      </c>
      <c r="G58" s="70">
        <v>180000</v>
      </c>
      <c r="H58" s="70">
        <v>330000</v>
      </c>
      <c r="I58" s="103">
        <f>D58+150000</f>
        <v>330000</v>
      </c>
      <c r="J58" s="89">
        <f>I58*DATAARK!$B$3</f>
        <v>330000</v>
      </c>
      <c r="K58" s="89">
        <f>J58*DATAARK!$C$3</f>
        <v>330000</v>
      </c>
      <c r="N58" s="40">
        <f t="shared" si="1"/>
        <v>0</v>
      </c>
    </row>
    <row r="59" spans="1:14" x14ac:dyDescent="0.25">
      <c r="A59" s="33" t="s">
        <v>89</v>
      </c>
      <c r="B59" s="33" t="s">
        <v>17</v>
      </c>
      <c r="C59" s="71">
        <v>59779.95</v>
      </c>
      <c r="D59" s="71">
        <v>580000</v>
      </c>
      <c r="E59" s="71">
        <v>89.69</v>
      </c>
      <c r="F59" s="71">
        <v>10.31</v>
      </c>
      <c r="G59" s="71">
        <v>520220.05</v>
      </c>
      <c r="H59" s="71">
        <v>768350.2</v>
      </c>
      <c r="I59" s="90">
        <f>SUM(I49:I58)</f>
        <v>753196.8</v>
      </c>
      <c r="J59" s="90">
        <f>SUM(J49:J58)</f>
        <v>753196.8</v>
      </c>
      <c r="K59" s="90">
        <f>SUM(K49:K58)</f>
        <v>753196.8</v>
      </c>
    </row>
    <row r="60" spans="1:14" x14ac:dyDescent="0.25">
      <c r="A60" s="32" t="s">
        <v>12</v>
      </c>
      <c r="B60" s="32" t="s">
        <v>12</v>
      </c>
      <c r="J60" s="89">
        <v>0</v>
      </c>
    </row>
    <row r="61" spans="1:14" x14ac:dyDescent="0.25">
      <c r="A61" s="33" t="s">
        <v>90</v>
      </c>
      <c r="B61" s="33" t="s">
        <v>91</v>
      </c>
      <c r="C61" s="71"/>
      <c r="D61" s="71"/>
      <c r="E61" s="71"/>
      <c r="F61" s="71"/>
      <c r="G61" s="71"/>
      <c r="H61" s="71"/>
      <c r="I61" s="90"/>
      <c r="J61" s="89">
        <v>0</v>
      </c>
      <c r="K61" s="90"/>
    </row>
    <row r="62" spans="1:14" x14ac:dyDescent="0.25">
      <c r="A62" s="32" t="s">
        <v>92</v>
      </c>
      <c r="B62" s="32" t="s">
        <v>93</v>
      </c>
      <c r="J62" s="89">
        <f>I62*DATAARK!$B$3</f>
        <v>0</v>
      </c>
      <c r="K62" s="89">
        <f>J62*DATAARK!$C$3</f>
        <v>0</v>
      </c>
      <c r="N62" s="40">
        <f>IF(J62&gt;0,0,2)</f>
        <v>2</v>
      </c>
    </row>
    <row r="63" spans="1:14" x14ac:dyDescent="0.25">
      <c r="A63" s="33" t="s">
        <v>94</v>
      </c>
      <c r="B63" s="33" t="s">
        <v>95</v>
      </c>
      <c r="C63" s="71"/>
      <c r="D63" s="71"/>
      <c r="E63" s="71"/>
      <c r="F63" s="71"/>
      <c r="G63" s="71"/>
      <c r="H63" s="71">
        <v>0</v>
      </c>
      <c r="I63" s="90">
        <f>I62</f>
        <v>0</v>
      </c>
      <c r="J63" s="90">
        <f>J62</f>
        <v>0</v>
      </c>
      <c r="K63" s="90">
        <f>K62</f>
        <v>0</v>
      </c>
    </row>
    <row r="64" spans="1:14" x14ac:dyDescent="0.25">
      <c r="A64" s="32" t="s">
        <v>12</v>
      </c>
      <c r="B64" s="32" t="s">
        <v>12</v>
      </c>
    </row>
    <row r="65" spans="1:14" x14ac:dyDescent="0.25">
      <c r="A65" s="33" t="s">
        <v>96</v>
      </c>
      <c r="B65" s="33" t="s">
        <v>97</v>
      </c>
      <c r="C65" s="71">
        <v>5178621.3</v>
      </c>
      <c r="D65" s="71">
        <v>11825375.560000001</v>
      </c>
      <c r="E65" s="71">
        <v>56.21</v>
      </c>
      <c r="F65" s="71">
        <v>43.79</v>
      </c>
      <c r="G65" s="71">
        <v>6646754.2599999998</v>
      </c>
      <c r="H65" s="71">
        <v>10717254.971931204</v>
      </c>
      <c r="I65" s="90">
        <f>I63+I59+I46</f>
        <v>10702101.571931206</v>
      </c>
      <c r="J65" s="90">
        <f>J46+J59+J63</f>
        <v>11031008.800000001</v>
      </c>
      <c r="K65" s="90">
        <f>K46+K59+K63</f>
        <v>11031008.800000001</v>
      </c>
    </row>
    <row r="66" spans="1:14" x14ac:dyDescent="0.25">
      <c r="A66" s="32" t="s">
        <v>12</v>
      </c>
      <c r="B66" s="32" t="s">
        <v>12</v>
      </c>
    </row>
    <row r="67" spans="1:14" x14ac:dyDescent="0.25">
      <c r="A67" s="33" t="s">
        <v>98</v>
      </c>
      <c r="B67" s="33" t="s">
        <v>99</v>
      </c>
      <c r="C67" s="71"/>
      <c r="D67" s="71"/>
      <c r="E67" s="71"/>
      <c r="F67" s="71"/>
      <c r="G67" s="71"/>
      <c r="H67" s="71"/>
      <c r="I67" s="90"/>
      <c r="J67" s="127"/>
      <c r="K67" s="90"/>
    </row>
    <row r="68" spans="1:14" x14ac:dyDescent="0.25">
      <c r="A68" s="32" t="s">
        <v>100</v>
      </c>
      <c r="B68" s="32" t="s">
        <v>101</v>
      </c>
      <c r="J68" s="89">
        <f>I68*DATAARK!$B$3</f>
        <v>0</v>
      </c>
      <c r="K68" s="89">
        <f>J68*DATAARK!$C$3</f>
        <v>0</v>
      </c>
      <c r="N68" s="40">
        <f>IF(J68&gt;0,1,0)</f>
        <v>0</v>
      </c>
    </row>
    <row r="69" spans="1:14" x14ac:dyDescent="0.25">
      <c r="A69" s="32" t="s">
        <v>102</v>
      </c>
      <c r="B69" s="32" t="s">
        <v>103</v>
      </c>
      <c r="J69" s="89">
        <f>I69*DATAARK!$B$3</f>
        <v>0</v>
      </c>
      <c r="K69" s="89">
        <f>J69*DATAARK!$C$3</f>
        <v>0</v>
      </c>
      <c r="N69" s="40">
        <f>IF(J69&gt;0,1,0)</f>
        <v>0</v>
      </c>
    </row>
    <row r="70" spans="1:14" x14ac:dyDescent="0.25">
      <c r="A70" s="33" t="s">
        <v>104</v>
      </c>
      <c r="B70" s="33" t="s">
        <v>105</v>
      </c>
      <c r="C70" s="71"/>
      <c r="D70" s="71"/>
      <c r="E70" s="71"/>
      <c r="F70" s="71"/>
      <c r="G70" s="71"/>
      <c r="H70" s="71"/>
      <c r="I70" s="90"/>
      <c r="J70" s="127"/>
      <c r="K70" s="90"/>
    </row>
    <row r="71" spans="1:14" x14ac:dyDescent="0.25">
      <c r="A71" s="32" t="s">
        <v>12</v>
      </c>
      <c r="B71" s="32" t="s">
        <v>12</v>
      </c>
    </row>
    <row r="72" spans="1:14" x14ac:dyDescent="0.25">
      <c r="A72" s="33" t="s">
        <v>106</v>
      </c>
      <c r="B72" s="33" t="s">
        <v>107</v>
      </c>
      <c r="C72" s="71"/>
      <c r="D72" s="71"/>
      <c r="E72" s="71"/>
      <c r="F72" s="71"/>
      <c r="G72" s="71"/>
      <c r="H72" s="71"/>
      <c r="I72" s="90"/>
      <c r="J72" s="127"/>
      <c r="K72" s="90"/>
    </row>
    <row r="73" spans="1:14" x14ac:dyDescent="0.25">
      <c r="A73" s="32" t="s">
        <v>108</v>
      </c>
      <c r="B73" s="32" t="s">
        <v>109</v>
      </c>
      <c r="J73" s="89">
        <f>I73*DATAARK!$B$3</f>
        <v>0</v>
      </c>
      <c r="K73" s="89">
        <f>J73*DATAARK!$C$3</f>
        <v>0</v>
      </c>
      <c r="N73" s="40">
        <f>IF(J73&gt;0,1,0)</f>
        <v>0</v>
      </c>
    </row>
    <row r="74" spans="1:14" x14ac:dyDescent="0.25">
      <c r="A74" s="32" t="s">
        <v>110</v>
      </c>
      <c r="B74" s="32" t="s">
        <v>111</v>
      </c>
      <c r="J74" s="89">
        <f>I74*DATAARK!$B$3</f>
        <v>0</v>
      </c>
      <c r="K74" s="89">
        <f>J74*DATAARK!$C$3</f>
        <v>0</v>
      </c>
      <c r="N74" s="40">
        <f>IF(J74&gt;0,1,0)</f>
        <v>0</v>
      </c>
    </row>
    <row r="75" spans="1:14" x14ac:dyDescent="0.25">
      <c r="A75" s="32" t="s">
        <v>112</v>
      </c>
      <c r="B75" s="32" t="s">
        <v>113</v>
      </c>
      <c r="J75" s="89">
        <f>I75*DATAARK!$B$3</f>
        <v>0</v>
      </c>
      <c r="K75" s="89">
        <f>J75*DATAARK!$C$3</f>
        <v>0</v>
      </c>
      <c r="N75" s="40">
        <f>IF(J75&gt;0,1,0)</f>
        <v>0</v>
      </c>
    </row>
    <row r="76" spans="1:14" x14ac:dyDescent="0.25">
      <c r="A76" s="32" t="s">
        <v>114</v>
      </c>
      <c r="B76" s="32" t="s">
        <v>115</v>
      </c>
      <c r="C76" s="70">
        <v>-168399.45</v>
      </c>
      <c r="D76" s="70">
        <v>-36000</v>
      </c>
      <c r="E76" s="70">
        <v>-367.78</v>
      </c>
      <c r="F76" s="70">
        <v>467.78</v>
      </c>
      <c r="G76" s="70">
        <v>132399.45000000001</v>
      </c>
      <c r="H76" s="70">
        <v>-168399.45</v>
      </c>
      <c r="I76" s="103">
        <f>C76</f>
        <v>-168399.45</v>
      </c>
      <c r="J76" s="89">
        <f>I76*DATAARK!$B$3</f>
        <v>-168399.45</v>
      </c>
      <c r="K76" s="89">
        <f>J76*DATAARK!$C$3</f>
        <v>-168399.45</v>
      </c>
      <c r="N76" s="40">
        <f>IF(J76&gt;0,1,0)</f>
        <v>0</v>
      </c>
    </row>
    <row r="77" spans="1:14" x14ac:dyDescent="0.25">
      <c r="A77" s="33" t="s">
        <v>116</v>
      </c>
      <c r="B77" s="33" t="s">
        <v>117</v>
      </c>
      <c r="C77" s="71">
        <v>-168399.45</v>
      </c>
      <c r="D77" s="71">
        <v>-36000</v>
      </c>
      <c r="E77" s="71">
        <v>-367.78</v>
      </c>
      <c r="F77" s="71">
        <v>467.78</v>
      </c>
      <c r="G77" s="71">
        <v>132399.45000000001</v>
      </c>
      <c r="H77" s="71">
        <v>-168399.45</v>
      </c>
      <c r="I77" s="90">
        <f>SUM(I73:I76)</f>
        <v>-168399.45</v>
      </c>
      <c r="J77" s="127">
        <f>SUM(J73:J76)</f>
        <v>-168399.45</v>
      </c>
      <c r="K77" s="90">
        <f>SUM(K73:K76)</f>
        <v>-168399.45</v>
      </c>
    </row>
    <row r="78" spans="1:14" x14ac:dyDescent="0.25">
      <c r="A78" s="32" t="s">
        <v>12</v>
      </c>
      <c r="B78" s="32" t="s">
        <v>12</v>
      </c>
    </row>
    <row r="79" spans="1:14" x14ac:dyDescent="0.25">
      <c r="A79" s="33" t="s">
        <v>118</v>
      </c>
      <c r="B79" s="33" t="s">
        <v>119</v>
      </c>
      <c r="C79" s="71"/>
      <c r="D79" s="71"/>
      <c r="E79" s="71"/>
      <c r="F79" s="71"/>
      <c r="G79" s="71"/>
      <c r="H79" s="71"/>
      <c r="I79" s="90"/>
      <c r="J79" s="127"/>
      <c r="K79" s="90"/>
    </row>
    <row r="80" spans="1:14" x14ac:dyDescent="0.25">
      <c r="A80" s="32" t="s">
        <v>120</v>
      </c>
      <c r="B80" s="32" t="s">
        <v>121</v>
      </c>
      <c r="N80" s="40">
        <f>IF(J80&gt;0,1,0)</f>
        <v>0</v>
      </c>
    </row>
    <row r="81" spans="1:14" x14ac:dyDescent="0.25">
      <c r="A81" s="32" t="s">
        <v>122</v>
      </c>
      <c r="B81" s="32" t="s">
        <v>123</v>
      </c>
      <c r="N81" s="40">
        <f>IF(J81&gt;0,1,0)</f>
        <v>0</v>
      </c>
    </row>
    <row r="82" spans="1:14" x14ac:dyDescent="0.25">
      <c r="A82" s="33" t="s">
        <v>124</v>
      </c>
      <c r="B82" s="33" t="s">
        <v>125</v>
      </c>
      <c r="C82" s="71"/>
      <c r="D82" s="71"/>
      <c r="E82" s="71"/>
      <c r="F82" s="71"/>
      <c r="G82" s="71"/>
      <c r="H82" s="71">
        <v>0</v>
      </c>
      <c r="I82" s="90">
        <f>I80+I81</f>
        <v>0</v>
      </c>
      <c r="J82" s="127"/>
      <c r="K82" s="90"/>
    </row>
    <row r="83" spans="1:14" x14ac:dyDescent="0.25">
      <c r="A83" s="32" t="s">
        <v>12</v>
      </c>
      <c r="B83" s="32" t="s">
        <v>12</v>
      </c>
    </row>
    <row r="84" spans="1:14" x14ac:dyDescent="0.25">
      <c r="A84" s="33" t="s">
        <v>126</v>
      </c>
      <c r="B84" s="33" t="s">
        <v>30</v>
      </c>
      <c r="C84" s="71"/>
      <c r="D84" s="71"/>
      <c r="E84" s="71"/>
      <c r="F84" s="71"/>
      <c r="G84" s="71"/>
      <c r="H84" s="71"/>
      <c r="I84" s="90"/>
      <c r="J84" s="127"/>
      <c r="K84" s="90"/>
    </row>
    <row r="85" spans="1:14" x14ac:dyDescent="0.25">
      <c r="A85" s="32" t="s">
        <v>127</v>
      </c>
      <c r="B85" s="32" t="s">
        <v>128</v>
      </c>
      <c r="J85" s="89">
        <f>I85*DATAARK!$B$4</f>
        <v>0</v>
      </c>
      <c r="K85" s="89">
        <f>J85*DATAARK!$C$4</f>
        <v>0</v>
      </c>
      <c r="N85" s="40">
        <f t="shared" ref="N85:N106" si="2">IF(J85&gt;0,1,0)</f>
        <v>0</v>
      </c>
    </row>
    <row r="86" spans="1:14" x14ac:dyDescent="0.25">
      <c r="A86" s="32" t="s">
        <v>129</v>
      </c>
      <c r="B86" s="32" t="s">
        <v>130</v>
      </c>
      <c r="D86" s="70">
        <v>-70200</v>
      </c>
      <c r="E86" s="70">
        <v>100</v>
      </c>
      <c r="G86" s="70">
        <v>-70200</v>
      </c>
      <c r="H86" s="70">
        <v>0</v>
      </c>
      <c r="I86" s="103">
        <v>0</v>
      </c>
      <c r="J86" s="89">
        <f>I86*DATAARK!$B$4</f>
        <v>0</v>
      </c>
      <c r="K86" s="89">
        <f>J86*DATAARK!$C$4</f>
        <v>0</v>
      </c>
      <c r="N86" s="40">
        <f t="shared" si="2"/>
        <v>0</v>
      </c>
    </row>
    <row r="87" spans="1:14" x14ac:dyDescent="0.25">
      <c r="A87" s="32" t="s">
        <v>131</v>
      </c>
      <c r="B87" s="32" t="s">
        <v>132</v>
      </c>
      <c r="J87" s="89">
        <f>I87*DATAARK!$B$4</f>
        <v>0</v>
      </c>
      <c r="K87" s="89">
        <f>J87*DATAARK!$C$4</f>
        <v>0</v>
      </c>
      <c r="N87" s="40">
        <f t="shared" si="2"/>
        <v>0</v>
      </c>
    </row>
    <row r="88" spans="1:14" x14ac:dyDescent="0.25">
      <c r="A88" s="32" t="s">
        <v>133</v>
      </c>
      <c r="B88" s="32" t="s">
        <v>134</v>
      </c>
      <c r="J88" s="89">
        <f>I88*DATAARK!$B$4</f>
        <v>0</v>
      </c>
      <c r="K88" s="89">
        <f>J88*DATAARK!$C$4</f>
        <v>0</v>
      </c>
      <c r="N88" s="40">
        <f t="shared" si="2"/>
        <v>0</v>
      </c>
    </row>
    <row r="89" spans="1:14" x14ac:dyDescent="0.25">
      <c r="A89" s="32" t="s">
        <v>135</v>
      </c>
      <c r="B89" s="32" t="s">
        <v>136</v>
      </c>
      <c r="J89" s="89">
        <f>I89*DATAARK!$B$4</f>
        <v>0</v>
      </c>
      <c r="K89" s="89">
        <f>J89*DATAARK!$C$4</f>
        <v>0</v>
      </c>
      <c r="N89" s="40">
        <f t="shared" si="2"/>
        <v>0</v>
      </c>
    </row>
    <row r="90" spans="1:14" x14ac:dyDescent="0.25">
      <c r="A90" s="32" t="s">
        <v>137</v>
      </c>
      <c r="B90" s="32" t="s">
        <v>138</v>
      </c>
      <c r="C90" s="70">
        <v>-3655756.36</v>
      </c>
      <c r="D90" s="70">
        <v>-6983738.46</v>
      </c>
      <c r="E90" s="70">
        <v>47.65</v>
      </c>
      <c r="F90" s="70">
        <v>52.35</v>
      </c>
      <c r="G90" s="70">
        <v>-3327982.1</v>
      </c>
      <c r="H90" s="70">
        <v>-6394880.5999999996</v>
      </c>
      <c r="I90" s="103">
        <v>-5432040.9199999999</v>
      </c>
      <c r="J90" s="89">
        <f>I90*DATAARK!$B$4</f>
        <v>-5432040.9199999999</v>
      </c>
      <c r="K90" s="89">
        <v>-5124316.82</v>
      </c>
      <c r="N90" s="40">
        <f t="shared" si="2"/>
        <v>0</v>
      </c>
    </row>
    <row r="91" spans="1:14" x14ac:dyDescent="0.25">
      <c r="A91" s="32" t="s">
        <v>139</v>
      </c>
      <c r="B91" s="32" t="s">
        <v>140</v>
      </c>
      <c r="J91" s="89">
        <f>I91*DATAARK!$B$4</f>
        <v>0</v>
      </c>
      <c r="K91" s="89">
        <f>J91*DATAARK!$C$4</f>
        <v>0</v>
      </c>
      <c r="N91" s="40">
        <f t="shared" si="2"/>
        <v>0</v>
      </c>
    </row>
    <row r="92" spans="1:14" x14ac:dyDescent="0.25">
      <c r="A92" s="32" t="s">
        <v>141</v>
      </c>
      <c r="B92" s="32" t="s">
        <v>142</v>
      </c>
      <c r="J92" s="89">
        <f>I92*DATAARK!$B$4</f>
        <v>0</v>
      </c>
      <c r="K92" s="89">
        <f>J92*DATAARK!$C$4</f>
        <v>0</v>
      </c>
      <c r="N92" s="40">
        <f t="shared" si="2"/>
        <v>0</v>
      </c>
    </row>
    <row r="93" spans="1:14" x14ac:dyDescent="0.25">
      <c r="A93" s="32" t="s">
        <v>143</v>
      </c>
      <c r="B93" s="32" t="s">
        <v>144</v>
      </c>
      <c r="K93" s="89"/>
      <c r="N93" s="40">
        <f t="shared" si="2"/>
        <v>0</v>
      </c>
    </row>
    <row r="94" spans="1:14" x14ac:dyDescent="0.25">
      <c r="A94" s="32" t="s">
        <v>145</v>
      </c>
      <c r="B94" s="32" t="s">
        <v>146</v>
      </c>
      <c r="C94" s="70">
        <v>-1712.36</v>
      </c>
      <c r="G94" s="70">
        <v>1712.36</v>
      </c>
      <c r="H94" s="70">
        <v>-1712.36</v>
      </c>
      <c r="J94" s="89">
        <f>I94*DATAARK!$B$4</f>
        <v>0</v>
      </c>
      <c r="K94" s="89">
        <f>J94*DATAARK!$C$4</f>
        <v>0</v>
      </c>
      <c r="N94" s="40">
        <f t="shared" si="2"/>
        <v>0</v>
      </c>
    </row>
    <row r="95" spans="1:14" x14ac:dyDescent="0.25">
      <c r="A95" s="32" t="s">
        <v>147</v>
      </c>
      <c r="B95" s="32" t="s">
        <v>148</v>
      </c>
      <c r="C95" s="70">
        <v>-15153.51</v>
      </c>
      <c r="G95" s="70">
        <v>15153.51</v>
      </c>
      <c r="H95" s="70">
        <v>-15153.51</v>
      </c>
      <c r="J95" s="89">
        <f>I95*DATAARK!$B$4</f>
        <v>0</v>
      </c>
      <c r="K95" s="89">
        <f>J95*DATAARK!$C$4</f>
        <v>0</v>
      </c>
      <c r="N95" s="40">
        <f t="shared" si="2"/>
        <v>0</v>
      </c>
    </row>
    <row r="96" spans="1:14" x14ac:dyDescent="0.25">
      <c r="A96" s="32" t="s">
        <v>149</v>
      </c>
      <c r="B96" s="32" t="s">
        <v>150</v>
      </c>
      <c r="J96" s="89">
        <f>I96*DATAARK!$B$4</f>
        <v>0</v>
      </c>
      <c r="K96" s="89">
        <f>J96*DATAARK!$C$4</f>
        <v>0</v>
      </c>
      <c r="N96" s="40">
        <f t="shared" si="2"/>
        <v>0</v>
      </c>
    </row>
    <row r="97" spans="1:14" x14ac:dyDescent="0.25">
      <c r="A97" s="32" t="s">
        <v>151</v>
      </c>
      <c r="B97" s="32" t="s">
        <v>152</v>
      </c>
      <c r="J97" s="89">
        <f>I97*DATAARK!$B$4</f>
        <v>0</v>
      </c>
      <c r="K97" s="89">
        <f>J97*DATAARK!$C$4</f>
        <v>0</v>
      </c>
      <c r="N97" s="40">
        <f t="shared" si="2"/>
        <v>0</v>
      </c>
    </row>
    <row r="98" spans="1:14" x14ac:dyDescent="0.25">
      <c r="A98" s="32" t="s">
        <v>153</v>
      </c>
      <c r="B98" s="32" t="s">
        <v>154</v>
      </c>
      <c r="J98" s="89">
        <f>I98*DATAARK!$B$4</f>
        <v>0</v>
      </c>
      <c r="K98" s="89">
        <f>J98*DATAARK!$C$4</f>
        <v>0</v>
      </c>
      <c r="N98" s="40">
        <f t="shared" si="2"/>
        <v>0</v>
      </c>
    </row>
    <row r="99" spans="1:14" x14ac:dyDescent="0.25">
      <c r="A99" s="32" t="s">
        <v>155</v>
      </c>
      <c r="B99" s="32" t="s">
        <v>156</v>
      </c>
      <c r="J99" s="89">
        <f>I99*DATAARK!$B$4</f>
        <v>0</v>
      </c>
      <c r="K99" s="89">
        <f>J99*DATAARK!$C$4</f>
        <v>0</v>
      </c>
      <c r="N99" s="40">
        <f t="shared" si="2"/>
        <v>0</v>
      </c>
    </row>
    <row r="100" spans="1:14" x14ac:dyDescent="0.25">
      <c r="A100" s="32" t="s">
        <v>157</v>
      </c>
      <c r="B100" s="32" t="s">
        <v>158</v>
      </c>
      <c r="J100" s="89">
        <f>I100*DATAARK!$B$4</f>
        <v>0</v>
      </c>
      <c r="K100" s="89">
        <f>J100*DATAARK!$C$4</f>
        <v>0</v>
      </c>
      <c r="N100" s="40">
        <f t="shared" si="2"/>
        <v>0</v>
      </c>
    </row>
    <row r="101" spans="1:14" x14ac:dyDescent="0.25">
      <c r="A101" s="32" t="s">
        <v>159</v>
      </c>
      <c r="B101" s="32" t="s">
        <v>160</v>
      </c>
      <c r="J101" s="89">
        <f>I101*DATAARK!$B$4</f>
        <v>0</v>
      </c>
      <c r="K101" s="89">
        <f>J101*DATAARK!$C$4</f>
        <v>0</v>
      </c>
      <c r="N101" s="40">
        <f t="shared" si="2"/>
        <v>0</v>
      </c>
    </row>
    <row r="102" spans="1:14" x14ac:dyDescent="0.25">
      <c r="A102" s="32" t="s">
        <v>161</v>
      </c>
      <c r="B102" s="32" t="s">
        <v>162</v>
      </c>
      <c r="J102" s="89">
        <f>I102*DATAARK!$B$4</f>
        <v>0</v>
      </c>
      <c r="K102" s="89">
        <f>J102*DATAARK!$C$4</f>
        <v>0</v>
      </c>
      <c r="N102" s="40">
        <f t="shared" si="2"/>
        <v>0</v>
      </c>
    </row>
    <row r="103" spans="1:14" x14ac:dyDescent="0.25">
      <c r="A103" s="32" t="s">
        <v>163</v>
      </c>
      <c r="B103" s="32" t="s">
        <v>164</v>
      </c>
      <c r="J103" s="89">
        <f>I103*DATAARK!$B$4</f>
        <v>0</v>
      </c>
      <c r="K103" s="89">
        <f>J103*DATAARK!$C$4</f>
        <v>0</v>
      </c>
      <c r="N103" s="40">
        <f t="shared" si="2"/>
        <v>0</v>
      </c>
    </row>
    <row r="104" spans="1:14" x14ac:dyDescent="0.25">
      <c r="A104" s="32" t="s">
        <v>165</v>
      </c>
      <c r="B104" s="32" t="s">
        <v>166</v>
      </c>
      <c r="J104" s="89">
        <f>I104*DATAARK!$B$4</f>
        <v>0</v>
      </c>
      <c r="K104" s="89">
        <f>J104*DATAARK!$C$4</f>
        <v>0</v>
      </c>
      <c r="N104" s="40">
        <f t="shared" si="2"/>
        <v>0</v>
      </c>
    </row>
    <row r="105" spans="1:14" x14ac:dyDescent="0.25">
      <c r="A105" s="32" t="s">
        <v>167</v>
      </c>
      <c r="B105" s="32" t="s">
        <v>168</v>
      </c>
      <c r="J105" s="89">
        <f>I105*DATAARK!$B$4</f>
        <v>0</v>
      </c>
      <c r="K105" s="89">
        <f>J105*DATAARK!$C$4</f>
        <v>0</v>
      </c>
      <c r="N105" s="40">
        <f t="shared" si="2"/>
        <v>0</v>
      </c>
    </row>
    <row r="106" spans="1:14" x14ac:dyDescent="0.25">
      <c r="A106" s="32" t="s">
        <v>169</v>
      </c>
      <c r="B106" s="32" t="s">
        <v>170</v>
      </c>
      <c r="J106" s="89">
        <f>I106*DATAARK!$B$4</f>
        <v>0</v>
      </c>
      <c r="K106" s="89">
        <f>J106*DATAARK!$C$4</f>
        <v>0</v>
      </c>
      <c r="N106" s="40">
        <f t="shared" si="2"/>
        <v>0</v>
      </c>
    </row>
    <row r="107" spans="1:14" x14ac:dyDescent="0.25">
      <c r="A107" s="33" t="s">
        <v>171</v>
      </c>
      <c r="B107" s="33" t="s">
        <v>172</v>
      </c>
      <c r="C107" s="71">
        <v>-3672622.23</v>
      </c>
      <c r="D107" s="71">
        <v>-7053938.46</v>
      </c>
      <c r="E107" s="71">
        <v>47.94</v>
      </c>
      <c r="F107" s="71">
        <v>52.06</v>
      </c>
      <c r="G107" s="71">
        <v>-3381316.23</v>
      </c>
      <c r="H107" s="71">
        <v>-6411746.4699999997</v>
      </c>
      <c r="I107" s="90">
        <f>SUM(I85:I106)</f>
        <v>-5432040.9199999999</v>
      </c>
      <c r="J107" s="89">
        <f>SUM(J85:J106)</f>
        <v>-5432040.9199999999</v>
      </c>
      <c r="K107" s="90">
        <f>SUM(K85:K106)</f>
        <v>-5124316.82</v>
      </c>
    </row>
    <row r="108" spans="1:14" x14ac:dyDescent="0.25">
      <c r="A108" s="32" t="s">
        <v>12</v>
      </c>
      <c r="B108" s="32" t="s">
        <v>12</v>
      </c>
    </row>
    <row r="109" spans="1:14" x14ac:dyDescent="0.25">
      <c r="A109" s="33" t="s">
        <v>173</v>
      </c>
      <c r="B109" s="33" t="s">
        <v>174</v>
      </c>
      <c r="C109" s="71"/>
      <c r="D109" s="71"/>
      <c r="E109" s="71"/>
      <c r="F109" s="71"/>
      <c r="G109" s="71"/>
      <c r="H109" s="71"/>
      <c r="I109" s="90"/>
      <c r="J109" s="127"/>
      <c r="K109" s="90"/>
    </row>
    <row r="110" spans="1:14" x14ac:dyDescent="0.25">
      <c r="A110" s="32" t="s">
        <v>175</v>
      </c>
      <c r="B110" s="32" t="s">
        <v>174</v>
      </c>
      <c r="C110" s="70">
        <v>-618620.27</v>
      </c>
      <c r="D110" s="70">
        <v>-1393375.81</v>
      </c>
      <c r="E110" s="70">
        <v>55.6</v>
      </c>
      <c r="F110" s="70">
        <v>44.4</v>
      </c>
      <c r="G110" s="70">
        <v>-774755.54</v>
      </c>
      <c r="H110" s="70">
        <v>-1317095.98</v>
      </c>
      <c r="I110" s="103">
        <v>-943159.07</v>
      </c>
      <c r="J110" s="89">
        <f>I110*DATAARK!$B$4</f>
        <v>-943159.07</v>
      </c>
      <c r="K110" s="89">
        <v>-870939.31</v>
      </c>
      <c r="N110" s="40">
        <f>IF(J110&gt;0,1,0)</f>
        <v>0</v>
      </c>
    </row>
    <row r="111" spans="1:14" x14ac:dyDescent="0.25">
      <c r="A111" s="32" t="s">
        <v>176</v>
      </c>
      <c r="B111" s="32" t="s">
        <v>177</v>
      </c>
      <c r="J111" s="89">
        <f>I111*DATAARK!$B$4</f>
        <v>0</v>
      </c>
      <c r="K111" s="89">
        <f>J111*DATAARK!$C$4</f>
        <v>0</v>
      </c>
      <c r="N111" s="40">
        <f>IF(J111&gt;0,1,0)</f>
        <v>0</v>
      </c>
    </row>
    <row r="112" spans="1:14" x14ac:dyDescent="0.25">
      <c r="A112" s="33" t="s">
        <v>178</v>
      </c>
      <c r="B112" s="33" t="s">
        <v>179</v>
      </c>
      <c r="C112" s="71">
        <v>-618620.27</v>
      </c>
      <c r="D112" s="71">
        <v>-1393375.81</v>
      </c>
      <c r="E112" s="71">
        <v>55.6</v>
      </c>
      <c r="F112" s="71">
        <v>44.4</v>
      </c>
      <c r="G112" s="71">
        <v>-774755.54</v>
      </c>
      <c r="H112" s="71">
        <v>-1317095.98</v>
      </c>
      <c r="I112" s="90">
        <f>I110+I111</f>
        <v>-943159.07</v>
      </c>
      <c r="J112" s="127">
        <f>J110+J111</f>
        <v>-943159.07</v>
      </c>
      <c r="K112" s="90">
        <f>K110+K111</f>
        <v>-870939.31</v>
      </c>
    </row>
    <row r="113" spans="1:14" x14ac:dyDescent="0.25">
      <c r="A113" s="32" t="s">
        <v>12</v>
      </c>
      <c r="B113" s="32" t="s">
        <v>12</v>
      </c>
    </row>
    <row r="114" spans="1:14" x14ac:dyDescent="0.25">
      <c r="A114" s="33" t="s">
        <v>180</v>
      </c>
      <c r="B114" s="33" t="s">
        <v>181</v>
      </c>
      <c r="C114" s="71"/>
      <c r="D114" s="71"/>
      <c r="E114" s="71"/>
      <c r="F114" s="71"/>
      <c r="G114" s="71"/>
      <c r="H114" s="71"/>
      <c r="I114" s="90"/>
      <c r="K114" s="89"/>
    </row>
    <row r="115" spans="1:14" x14ac:dyDescent="0.25">
      <c r="A115" s="32" t="s">
        <v>182</v>
      </c>
      <c r="B115" s="32" t="s">
        <v>183</v>
      </c>
      <c r="C115" s="70">
        <v>453040.84</v>
      </c>
      <c r="D115" s="70">
        <v>618119</v>
      </c>
      <c r="E115" s="70">
        <v>26.71</v>
      </c>
      <c r="F115" s="70">
        <v>73.290000000000006</v>
      </c>
      <c r="G115" s="70">
        <v>165078.16</v>
      </c>
      <c r="H115" s="70">
        <v>906081.68</v>
      </c>
      <c r="I115" s="103">
        <f>C115*2</f>
        <v>906081.68</v>
      </c>
      <c r="J115" s="89">
        <f>I115*DATAARK!$B$4</f>
        <v>906081.68</v>
      </c>
      <c r="K115" s="89">
        <f>J115*DATAARK!$C$4</f>
        <v>906081.68</v>
      </c>
      <c r="N115" s="40">
        <f t="shared" ref="N115:N121" si="3">IF(J115&gt;0,0,2)</f>
        <v>0</v>
      </c>
    </row>
    <row r="116" spans="1:14" x14ac:dyDescent="0.25">
      <c r="A116" s="32" t="s">
        <v>184</v>
      </c>
      <c r="B116" s="32" t="s">
        <v>185</v>
      </c>
      <c r="C116" s="70">
        <v>52438</v>
      </c>
      <c r="G116" s="70">
        <v>-52438</v>
      </c>
      <c r="H116" s="70">
        <v>52438</v>
      </c>
      <c r="I116" s="103">
        <f>C116</f>
        <v>52438</v>
      </c>
      <c r="J116" s="89">
        <f>I116*DATAARK!$B$4</f>
        <v>52438</v>
      </c>
      <c r="K116" s="89">
        <f>J116*DATAARK!$C$4</f>
        <v>52438</v>
      </c>
      <c r="N116" s="40">
        <f t="shared" si="3"/>
        <v>0</v>
      </c>
    </row>
    <row r="117" spans="1:14" x14ac:dyDescent="0.25">
      <c r="A117" s="32" t="s">
        <v>186</v>
      </c>
      <c r="B117" s="32" t="s">
        <v>187</v>
      </c>
      <c r="J117" s="89">
        <f>I117*DATAARK!$B$4</f>
        <v>0</v>
      </c>
      <c r="K117" s="89">
        <f>J117*DATAARK!$C$4</f>
        <v>0</v>
      </c>
      <c r="N117" s="40">
        <f t="shared" si="3"/>
        <v>2</v>
      </c>
    </row>
    <row r="118" spans="1:14" x14ac:dyDescent="0.25">
      <c r="A118" s="32" t="s">
        <v>188</v>
      </c>
      <c r="B118" s="32" t="s">
        <v>189</v>
      </c>
      <c r="J118" s="89">
        <f>I118*DATAARK!$B$4</f>
        <v>0</v>
      </c>
      <c r="K118" s="89">
        <f>J118*DATAARK!$C$4</f>
        <v>0</v>
      </c>
      <c r="N118" s="40">
        <f t="shared" si="3"/>
        <v>2</v>
      </c>
    </row>
    <row r="119" spans="1:14" x14ac:dyDescent="0.25">
      <c r="A119" s="32" t="s">
        <v>190</v>
      </c>
      <c r="B119" s="32" t="s">
        <v>191</v>
      </c>
      <c r="J119" s="89">
        <f>I119*DATAARK!$B$4</f>
        <v>0</v>
      </c>
      <c r="K119" s="89">
        <f>J119*DATAARK!$C$4</f>
        <v>0</v>
      </c>
      <c r="N119" s="40">
        <f t="shared" si="3"/>
        <v>2</v>
      </c>
    </row>
    <row r="120" spans="1:14" x14ac:dyDescent="0.25">
      <c r="A120" s="32" t="s">
        <v>192</v>
      </c>
      <c r="B120" s="32" t="s">
        <v>193</v>
      </c>
      <c r="J120" s="89">
        <f>I120*DATAARK!$B$4</f>
        <v>0</v>
      </c>
      <c r="K120" s="89">
        <f>J120*DATAARK!$C$4</f>
        <v>0</v>
      </c>
      <c r="N120" s="40">
        <f t="shared" si="3"/>
        <v>2</v>
      </c>
    </row>
    <row r="121" spans="1:14" x14ac:dyDescent="0.25">
      <c r="A121" s="32" t="s">
        <v>194</v>
      </c>
      <c r="B121" s="32" t="s">
        <v>195</v>
      </c>
      <c r="J121" s="89">
        <f>I121*DATAARK!$B$4</f>
        <v>0</v>
      </c>
      <c r="K121" s="89">
        <f>J121*DATAARK!$C$4</f>
        <v>0</v>
      </c>
      <c r="N121" s="40">
        <f t="shared" si="3"/>
        <v>2</v>
      </c>
    </row>
    <row r="122" spans="1:14" x14ac:dyDescent="0.25">
      <c r="A122" s="33" t="s">
        <v>196</v>
      </c>
      <c r="B122" s="33" t="s">
        <v>197</v>
      </c>
      <c r="C122" s="71">
        <v>505478.84</v>
      </c>
      <c r="D122" s="71">
        <v>618119</v>
      </c>
      <c r="E122" s="71">
        <v>18.22</v>
      </c>
      <c r="F122" s="71">
        <v>81.78</v>
      </c>
      <c r="G122" s="71">
        <v>112640.16</v>
      </c>
      <c r="H122" s="71">
        <v>958519.68</v>
      </c>
      <c r="I122" s="90">
        <f>SUM(I115:I121)</f>
        <v>958519.68</v>
      </c>
      <c r="J122" s="127">
        <f>SUM(J115:J121)</f>
        <v>958519.68</v>
      </c>
      <c r="K122" s="90">
        <f>SUM(K115:K121)</f>
        <v>958519.68</v>
      </c>
    </row>
    <row r="123" spans="1:14" x14ac:dyDescent="0.25">
      <c r="A123" s="33" t="s">
        <v>198</v>
      </c>
      <c r="B123" s="33" t="s">
        <v>199</v>
      </c>
      <c r="C123" s="71">
        <v>-3785763.66</v>
      </c>
      <c r="D123" s="71">
        <v>-7829195.2699999996</v>
      </c>
      <c r="E123" s="71">
        <v>51.65</v>
      </c>
      <c r="F123" s="71">
        <v>48.35</v>
      </c>
      <c r="G123" s="71">
        <v>-4043431.61</v>
      </c>
      <c r="H123" s="71">
        <v>-6770322.7699999996</v>
      </c>
      <c r="I123" s="90">
        <f>I122+I112+I107</f>
        <v>-5416680.3099999996</v>
      </c>
      <c r="J123" s="127">
        <f>J122+J112+J107</f>
        <v>-5416680.3099999996</v>
      </c>
      <c r="K123" s="90">
        <f>K122+K112+K107</f>
        <v>-5036736.45</v>
      </c>
    </row>
    <row r="124" spans="1:14" x14ac:dyDescent="0.25">
      <c r="A124" s="32" t="s">
        <v>12</v>
      </c>
      <c r="B124" s="32" t="s">
        <v>12</v>
      </c>
    </row>
    <row r="125" spans="1:14" x14ac:dyDescent="0.25">
      <c r="A125" s="33" t="s">
        <v>200</v>
      </c>
      <c r="B125" s="33" t="s">
        <v>201</v>
      </c>
      <c r="C125" s="71">
        <v>-3954163.11</v>
      </c>
      <c r="D125" s="71">
        <v>-7865195.2699999996</v>
      </c>
      <c r="E125" s="71">
        <v>49.73</v>
      </c>
      <c r="F125" s="71">
        <v>50.27</v>
      </c>
      <c r="G125" s="71">
        <v>-3911032.16</v>
      </c>
      <c r="H125" s="71">
        <v>-6938722.2199999997</v>
      </c>
      <c r="I125" s="90">
        <f>I123+I82+I77</f>
        <v>-5585079.7599999998</v>
      </c>
      <c r="J125" s="127">
        <f>J123+J82+J77</f>
        <v>-5585079.7599999998</v>
      </c>
      <c r="K125" s="90">
        <f>K123+K82+K77</f>
        <v>-5205135.9000000004</v>
      </c>
    </row>
    <row r="126" spans="1:14" x14ac:dyDescent="0.25">
      <c r="A126" s="32" t="s">
        <v>12</v>
      </c>
      <c r="B126" s="32" t="s">
        <v>12</v>
      </c>
    </row>
    <row r="127" spans="1:14" x14ac:dyDescent="0.25">
      <c r="A127" s="33" t="s">
        <v>202</v>
      </c>
      <c r="B127" s="33" t="s">
        <v>203</v>
      </c>
      <c r="C127" s="71">
        <v>1224458.19</v>
      </c>
      <c r="D127" s="71">
        <v>3960180.29</v>
      </c>
      <c r="E127" s="71">
        <v>69.08</v>
      </c>
      <c r="F127" s="71">
        <v>30.92</v>
      </c>
      <c r="G127" s="71">
        <v>2735722.1</v>
      </c>
      <c r="H127" s="71">
        <v>3778532.7519312045</v>
      </c>
      <c r="I127" s="90">
        <f>I125+I65</f>
        <v>5117021.8119312059</v>
      </c>
      <c r="J127" s="127">
        <f>J125+J65</f>
        <v>5445929.040000001</v>
      </c>
      <c r="K127" s="90">
        <f>K125+K65</f>
        <v>5825872.9000000004</v>
      </c>
    </row>
    <row r="128" spans="1:14" x14ac:dyDescent="0.25">
      <c r="A128" s="32" t="s">
        <v>12</v>
      </c>
      <c r="B128" s="32" t="s">
        <v>12</v>
      </c>
    </row>
    <row r="129" spans="1:14" x14ac:dyDescent="0.25">
      <c r="A129" s="33" t="s">
        <v>204</v>
      </c>
      <c r="B129" s="33" t="s">
        <v>205</v>
      </c>
      <c r="C129" s="71"/>
      <c r="D129" s="71"/>
      <c r="E129" s="71"/>
      <c r="F129" s="71"/>
      <c r="G129" s="71"/>
      <c r="H129" s="71"/>
      <c r="I129" s="90"/>
      <c r="J129" s="127"/>
      <c r="K129" s="90"/>
    </row>
    <row r="130" spans="1:14" x14ac:dyDescent="0.25">
      <c r="A130" s="32" t="s">
        <v>206</v>
      </c>
      <c r="B130" s="32" t="s">
        <v>207</v>
      </c>
      <c r="C130" s="70">
        <v>3850</v>
      </c>
      <c r="D130" s="70">
        <v>116100</v>
      </c>
      <c r="E130" s="70">
        <v>96.68</v>
      </c>
      <c r="F130" s="70">
        <v>3.32</v>
      </c>
      <c r="G130" s="70">
        <v>112250</v>
      </c>
      <c r="H130" s="70">
        <v>116100</v>
      </c>
      <c r="I130" s="103">
        <v>116100</v>
      </c>
      <c r="J130" s="89">
        <f>I130*DATAARK!$B$3</f>
        <v>116100</v>
      </c>
      <c r="K130" s="89">
        <f>J130*DATAARK!$C$3</f>
        <v>116100</v>
      </c>
      <c r="N130" s="40">
        <f t="shared" ref="N130:N136" si="4">IF(J130&gt;0,0,2)</f>
        <v>0</v>
      </c>
    </row>
    <row r="131" spans="1:14" x14ac:dyDescent="0.25">
      <c r="A131" s="32" t="s">
        <v>208</v>
      </c>
      <c r="B131" s="32" t="s">
        <v>209</v>
      </c>
      <c r="J131" s="89">
        <f>I131*DATAARK!$B$3</f>
        <v>0</v>
      </c>
      <c r="K131" s="89">
        <f>J131*DATAARK!$C$3</f>
        <v>0</v>
      </c>
      <c r="N131" s="40">
        <f t="shared" si="4"/>
        <v>2</v>
      </c>
    </row>
    <row r="132" spans="1:14" x14ac:dyDescent="0.25">
      <c r="A132" s="32" t="s">
        <v>210</v>
      </c>
      <c r="B132" s="32" t="s">
        <v>211</v>
      </c>
      <c r="D132" s="70">
        <v>150000</v>
      </c>
      <c r="E132" s="70">
        <v>100</v>
      </c>
      <c r="G132" s="70">
        <v>150000</v>
      </c>
      <c r="J132" s="89">
        <f>I132*DATAARK!$B$3</f>
        <v>0</v>
      </c>
      <c r="K132" s="89">
        <f>J132*DATAARK!$C$3</f>
        <v>0</v>
      </c>
      <c r="N132" s="40">
        <f t="shared" si="4"/>
        <v>2</v>
      </c>
    </row>
    <row r="133" spans="1:14" x14ac:dyDescent="0.25">
      <c r="A133" s="32" t="s">
        <v>212</v>
      </c>
      <c r="B133" s="32" t="s">
        <v>213</v>
      </c>
      <c r="J133" s="89">
        <f>I133*DATAARK!$B$3</f>
        <v>0</v>
      </c>
      <c r="K133" s="89">
        <f>J133*DATAARK!$C$3</f>
        <v>0</v>
      </c>
      <c r="N133" s="40">
        <f t="shared" si="4"/>
        <v>2</v>
      </c>
    </row>
    <row r="134" spans="1:14" x14ac:dyDescent="0.25">
      <c r="A134" s="32" t="s">
        <v>214</v>
      </c>
      <c r="B134" s="32" t="s">
        <v>215</v>
      </c>
      <c r="J134" s="89">
        <f>I134*DATAARK!$B$3</f>
        <v>0</v>
      </c>
      <c r="K134" s="89">
        <f>J134*DATAARK!$C$3</f>
        <v>0</v>
      </c>
      <c r="N134" s="40">
        <f t="shared" si="4"/>
        <v>2</v>
      </c>
    </row>
    <row r="135" spans="1:14" x14ac:dyDescent="0.25">
      <c r="A135" s="32" t="s">
        <v>216</v>
      </c>
      <c r="B135" s="32" t="s">
        <v>217</v>
      </c>
      <c r="J135" s="89">
        <f>I135*DATAARK!$B$3</f>
        <v>0</v>
      </c>
      <c r="K135" s="89">
        <f>J135*DATAARK!$C$3</f>
        <v>0</v>
      </c>
      <c r="N135" s="40">
        <f t="shared" si="4"/>
        <v>2</v>
      </c>
    </row>
    <row r="136" spans="1:14" x14ac:dyDescent="0.25">
      <c r="A136" s="33" t="s">
        <v>218</v>
      </c>
      <c r="B136" s="33" t="s">
        <v>219</v>
      </c>
      <c r="C136" s="71">
        <v>3850</v>
      </c>
      <c r="D136" s="71">
        <v>266100</v>
      </c>
      <c r="E136" s="71">
        <v>98.55</v>
      </c>
      <c r="F136" s="71">
        <v>1.45</v>
      </c>
      <c r="G136" s="71">
        <v>262250</v>
      </c>
      <c r="H136" s="71">
        <v>116100</v>
      </c>
      <c r="I136" s="90">
        <f>SUM(I130:I135)</f>
        <v>116100</v>
      </c>
      <c r="J136" s="127">
        <f>SUM(J130:J135)</f>
        <v>116100</v>
      </c>
      <c r="K136" s="90">
        <f>SUM(K130:K135)</f>
        <v>116100</v>
      </c>
      <c r="N136" s="40">
        <f t="shared" si="4"/>
        <v>0</v>
      </c>
    </row>
    <row r="137" spans="1:14" x14ac:dyDescent="0.25">
      <c r="A137" s="32" t="s">
        <v>12</v>
      </c>
      <c r="B137" s="32" t="s">
        <v>12</v>
      </c>
    </row>
    <row r="138" spans="1:14" x14ac:dyDescent="0.25">
      <c r="A138" s="33" t="s">
        <v>220</v>
      </c>
      <c r="B138" s="33" t="s">
        <v>221</v>
      </c>
      <c r="C138" s="71"/>
      <c r="D138" s="71"/>
      <c r="E138" s="71"/>
      <c r="F138" s="71"/>
      <c r="G138" s="71"/>
      <c r="H138" s="71"/>
      <c r="I138" s="90"/>
      <c r="J138" s="127"/>
      <c r="K138" s="90"/>
    </row>
    <row r="139" spans="1:14" x14ac:dyDescent="0.25">
      <c r="A139" s="32" t="s">
        <v>222</v>
      </c>
      <c r="B139" s="32" t="s">
        <v>223</v>
      </c>
      <c r="J139" s="89">
        <f>I139*DATAARK!$B$3</f>
        <v>0</v>
      </c>
      <c r="K139" s="89">
        <f>J139*DATAARK!$C$3</f>
        <v>0</v>
      </c>
      <c r="N139" s="40">
        <f>IF(J139&gt;0,1,0)</f>
        <v>0</v>
      </c>
    </row>
    <row r="140" spans="1:14" x14ac:dyDescent="0.25">
      <c r="A140" s="32" t="s">
        <v>224</v>
      </c>
      <c r="B140" s="32" t="s">
        <v>225</v>
      </c>
      <c r="J140" s="89">
        <f>I140*DATAARK!$B$3</f>
        <v>0</v>
      </c>
      <c r="K140" s="89">
        <f>J140*DATAARK!$C$3</f>
        <v>0</v>
      </c>
      <c r="N140" s="40">
        <f t="shared" ref="N140:N203" si="5">IF(J140&gt;0,1,0)</f>
        <v>0</v>
      </c>
    </row>
    <row r="141" spans="1:14" x14ac:dyDescent="0.25">
      <c r="A141" s="32" t="s">
        <v>226</v>
      </c>
      <c r="B141" s="32" t="s">
        <v>227</v>
      </c>
      <c r="C141" s="70">
        <v>-507948.34</v>
      </c>
      <c r="D141" s="70">
        <v>-471152.96</v>
      </c>
      <c r="E141" s="70">
        <v>-7.81</v>
      </c>
      <c r="F141" s="70">
        <v>107.81</v>
      </c>
      <c r="G141" s="70">
        <v>36795.379999999997</v>
      </c>
      <c r="H141" s="70">
        <v>-1396389.3915999997</v>
      </c>
      <c r="I141" s="103">
        <f>'Fælles adm.'!I142*-1*0.14</f>
        <v>-1179376.9176</v>
      </c>
      <c r="J141" s="103">
        <f>'Fælles adm.'!J142*-1*0.1455</f>
        <v>-1784695.383075</v>
      </c>
      <c r="K141" s="103">
        <f>'Fælles adm.'!K142*-1*0.1455</f>
        <v>-1448949.2530049998</v>
      </c>
      <c r="N141" s="40">
        <f t="shared" si="5"/>
        <v>0</v>
      </c>
    </row>
    <row r="142" spans="1:14" x14ac:dyDescent="0.25">
      <c r="A142" s="32" t="s">
        <v>228</v>
      </c>
      <c r="B142" s="32" t="s">
        <v>229</v>
      </c>
      <c r="J142" s="89">
        <f>I142*DATAARK!$B$3</f>
        <v>0</v>
      </c>
      <c r="K142" s="89">
        <f>J142*DATAARK!$C$3</f>
        <v>0</v>
      </c>
      <c r="N142" s="40">
        <f t="shared" si="5"/>
        <v>0</v>
      </c>
    </row>
    <row r="143" spans="1:14" x14ac:dyDescent="0.25">
      <c r="A143" s="32" t="s">
        <v>230</v>
      </c>
      <c r="B143" s="32" t="s">
        <v>231</v>
      </c>
      <c r="J143" s="89">
        <f>I143*DATAARK!$B$3</f>
        <v>0</v>
      </c>
      <c r="K143" s="89">
        <f>J143*DATAARK!$C$3</f>
        <v>0</v>
      </c>
      <c r="N143" s="40">
        <f t="shared" si="5"/>
        <v>0</v>
      </c>
    </row>
    <row r="144" spans="1:14" x14ac:dyDescent="0.25">
      <c r="A144" s="32" t="s">
        <v>232</v>
      </c>
      <c r="B144" s="32" t="s">
        <v>233</v>
      </c>
      <c r="C144" s="70">
        <v>-5357.13</v>
      </c>
      <c r="D144" s="70">
        <v>-40000</v>
      </c>
      <c r="E144" s="70">
        <v>86.61</v>
      </c>
      <c r="F144" s="70">
        <v>13.39</v>
      </c>
      <c r="G144" s="70">
        <v>-34642.870000000003</v>
      </c>
      <c r="H144" s="70">
        <v>-40000</v>
      </c>
      <c r="I144" s="103">
        <v>-20000</v>
      </c>
      <c r="J144" s="89">
        <f>I144*DATAARK!$B$3</f>
        <v>-20000</v>
      </c>
      <c r="K144" s="89">
        <f>J144*DATAARK!$C$3</f>
        <v>-20000</v>
      </c>
      <c r="N144" s="40">
        <f t="shared" si="5"/>
        <v>0</v>
      </c>
    </row>
    <row r="145" spans="1:14" x14ac:dyDescent="0.25">
      <c r="A145" s="32" t="s">
        <v>234</v>
      </c>
      <c r="B145" s="32" t="s">
        <v>235</v>
      </c>
      <c r="D145" s="70">
        <v>-5000</v>
      </c>
      <c r="E145" s="70">
        <v>100</v>
      </c>
      <c r="G145" s="70">
        <v>-5000</v>
      </c>
      <c r="H145" s="70">
        <v>-5000</v>
      </c>
      <c r="I145" s="103">
        <v>-5000</v>
      </c>
      <c r="J145" s="89">
        <f>I145*DATAARK!$B$3</f>
        <v>-5000</v>
      </c>
      <c r="K145" s="89">
        <f>J145*DATAARK!$C$3</f>
        <v>-5000</v>
      </c>
      <c r="N145" s="40">
        <f t="shared" si="5"/>
        <v>0</v>
      </c>
    </row>
    <row r="146" spans="1:14" x14ac:dyDescent="0.25">
      <c r="A146" s="32" t="s">
        <v>236</v>
      </c>
      <c r="B146" s="32" t="s">
        <v>237</v>
      </c>
      <c r="C146" s="70">
        <v>-228</v>
      </c>
      <c r="D146" s="70">
        <v>-5000</v>
      </c>
      <c r="E146" s="70">
        <v>95.44</v>
      </c>
      <c r="F146" s="70">
        <v>4.5599999999999996</v>
      </c>
      <c r="G146" s="70">
        <v>-4772</v>
      </c>
      <c r="H146" s="70">
        <v>-5000</v>
      </c>
      <c r="I146" s="103">
        <v>-5000</v>
      </c>
      <c r="J146" s="89">
        <f>I146*DATAARK!$B$3</f>
        <v>-5000</v>
      </c>
      <c r="K146" s="89">
        <f>J146*DATAARK!$C$3</f>
        <v>-5000</v>
      </c>
      <c r="N146" s="40">
        <f t="shared" si="5"/>
        <v>0</v>
      </c>
    </row>
    <row r="147" spans="1:14" x14ac:dyDescent="0.25">
      <c r="A147" s="32" t="s">
        <v>238</v>
      </c>
      <c r="B147" s="32" t="s">
        <v>239</v>
      </c>
      <c r="D147" s="70">
        <v>-8000</v>
      </c>
      <c r="E147" s="70">
        <v>100</v>
      </c>
      <c r="G147" s="70">
        <v>-8000</v>
      </c>
      <c r="H147" s="70">
        <v>-8000</v>
      </c>
      <c r="I147" s="103">
        <v>-4000</v>
      </c>
      <c r="J147" s="89">
        <f>I147*DATAARK!$B$3</f>
        <v>-4000</v>
      </c>
      <c r="K147" s="89">
        <f>J147*DATAARK!$C$3</f>
        <v>-4000</v>
      </c>
      <c r="N147" s="40">
        <f t="shared" si="5"/>
        <v>0</v>
      </c>
    </row>
    <row r="148" spans="1:14" x14ac:dyDescent="0.25">
      <c r="A148" s="32" t="s">
        <v>240</v>
      </c>
      <c r="B148" s="32" t="s">
        <v>241</v>
      </c>
      <c r="C148" s="70">
        <v>-15683.19</v>
      </c>
      <c r="G148" s="70">
        <v>15683.19</v>
      </c>
      <c r="H148" s="70">
        <v>-15683.19</v>
      </c>
      <c r="J148" s="89">
        <f>I148*DATAARK!$B$3</f>
        <v>0</v>
      </c>
      <c r="K148" s="89">
        <f>J148*DATAARK!$C$3</f>
        <v>0</v>
      </c>
      <c r="N148" s="40">
        <f t="shared" si="5"/>
        <v>0</v>
      </c>
    </row>
    <row r="149" spans="1:14" x14ac:dyDescent="0.25">
      <c r="A149" s="32" t="s">
        <v>242</v>
      </c>
      <c r="B149" s="32" t="s">
        <v>243</v>
      </c>
      <c r="C149" s="70">
        <v>-384.2</v>
      </c>
      <c r="D149" s="70">
        <v>-10000</v>
      </c>
      <c r="E149" s="70">
        <v>96.16</v>
      </c>
      <c r="F149" s="70">
        <v>3.84</v>
      </c>
      <c r="G149" s="70">
        <v>-9615.7999999999993</v>
      </c>
      <c r="H149" s="70">
        <v>-10000</v>
      </c>
      <c r="J149" s="89">
        <f>I149*DATAARK!$B$3</f>
        <v>0</v>
      </c>
      <c r="K149" s="89">
        <f>J149*DATAARK!$C$3</f>
        <v>0</v>
      </c>
      <c r="N149" s="40">
        <f t="shared" si="5"/>
        <v>0</v>
      </c>
    </row>
    <row r="150" spans="1:14" x14ac:dyDescent="0.25">
      <c r="A150" s="32" t="s">
        <v>244</v>
      </c>
      <c r="B150" s="32" t="s">
        <v>245</v>
      </c>
      <c r="C150" s="70">
        <v>-4718.33</v>
      </c>
      <c r="D150" s="70">
        <v>-10000</v>
      </c>
      <c r="E150" s="70">
        <v>52.82</v>
      </c>
      <c r="F150" s="70">
        <v>47.18</v>
      </c>
      <c r="G150" s="70">
        <v>-5281.67</v>
      </c>
      <c r="H150" s="70">
        <v>-10000</v>
      </c>
      <c r="J150" s="89">
        <f>I150*DATAARK!$B$3</f>
        <v>0</v>
      </c>
      <c r="K150" s="89">
        <f>J150*DATAARK!$C$3</f>
        <v>0</v>
      </c>
      <c r="N150" s="40">
        <f t="shared" si="5"/>
        <v>0</v>
      </c>
    </row>
    <row r="151" spans="1:14" x14ac:dyDescent="0.25">
      <c r="A151" s="32" t="s">
        <v>246</v>
      </c>
      <c r="B151" s="32" t="s">
        <v>247</v>
      </c>
      <c r="C151" s="70">
        <v>-105203.85</v>
      </c>
      <c r="D151" s="70">
        <v>-892500</v>
      </c>
      <c r="E151" s="70">
        <v>88.21</v>
      </c>
      <c r="F151" s="70">
        <v>11.79</v>
      </c>
      <c r="G151" s="70">
        <v>-787296.15</v>
      </c>
      <c r="H151" s="70">
        <v>12500</v>
      </c>
      <c r="K151" s="89"/>
      <c r="N151" s="40">
        <f t="shared" si="5"/>
        <v>0</v>
      </c>
    </row>
    <row r="152" spans="1:14" x14ac:dyDescent="0.25">
      <c r="A152" s="32" t="s">
        <v>248</v>
      </c>
      <c r="B152" s="32" t="s">
        <v>249</v>
      </c>
      <c r="C152" s="70">
        <v>-8070.21</v>
      </c>
      <c r="D152" s="70">
        <v>-50000</v>
      </c>
      <c r="E152" s="70">
        <v>83.86</v>
      </c>
      <c r="F152" s="70">
        <v>16.14</v>
      </c>
      <c r="G152" s="70">
        <v>-41929.79</v>
      </c>
      <c r="H152" s="70">
        <v>-50000</v>
      </c>
      <c r="I152" s="103">
        <v>-50000</v>
      </c>
      <c r="J152" s="89">
        <f>I152*DATAARK!$B$3</f>
        <v>-50000</v>
      </c>
      <c r="K152" s="89">
        <f>J152*DATAARK!$C$3</f>
        <v>-50000</v>
      </c>
      <c r="N152" s="40">
        <f t="shared" si="5"/>
        <v>0</v>
      </c>
    </row>
    <row r="153" spans="1:14" x14ac:dyDescent="0.25">
      <c r="A153" s="32" t="s">
        <v>250</v>
      </c>
      <c r="B153" s="32" t="s">
        <v>251</v>
      </c>
      <c r="J153" s="89">
        <f>I153*DATAARK!$B$3</f>
        <v>0</v>
      </c>
      <c r="K153" s="89">
        <f>J153*DATAARK!$C$3</f>
        <v>0</v>
      </c>
      <c r="N153" s="40">
        <f t="shared" si="5"/>
        <v>0</v>
      </c>
    </row>
    <row r="154" spans="1:14" x14ac:dyDescent="0.25">
      <c r="A154" s="32" t="s">
        <v>252</v>
      </c>
      <c r="B154" s="32" t="s">
        <v>253</v>
      </c>
      <c r="C154" s="70">
        <v>-17374.5</v>
      </c>
      <c r="G154" s="70">
        <v>17374.5</v>
      </c>
      <c r="H154" s="70">
        <v>-17374.5</v>
      </c>
      <c r="I154" s="103">
        <f>C154</f>
        <v>-17374.5</v>
      </c>
      <c r="J154" s="89">
        <f>I154*DATAARK!$B$3</f>
        <v>-17374.5</v>
      </c>
      <c r="K154" s="89">
        <f>J154*DATAARK!$C$3</f>
        <v>-17374.5</v>
      </c>
      <c r="N154" s="40">
        <f t="shared" si="5"/>
        <v>0</v>
      </c>
    </row>
    <row r="155" spans="1:14" x14ac:dyDescent="0.25">
      <c r="A155" s="32" t="s">
        <v>254</v>
      </c>
      <c r="B155" s="32" t="s">
        <v>255</v>
      </c>
      <c r="C155" s="70">
        <v>-9880</v>
      </c>
      <c r="D155" s="70">
        <v>-20000</v>
      </c>
      <c r="E155" s="70">
        <v>50.6</v>
      </c>
      <c r="F155" s="70">
        <v>49.4</v>
      </c>
      <c r="G155" s="70">
        <v>-10120</v>
      </c>
      <c r="H155" s="70">
        <v>-20000</v>
      </c>
      <c r="J155" s="89">
        <f>I155*DATAARK!$B$3</f>
        <v>0</v>
      </c>
      <c r="K155" s="89">
        <f>J155*DATAARK!$C$3</f>
        <v>0</v>
      </c>
      <c r="N155" s="40">
        <f t="shared" si="5"/>
        <v>0</v>
      </c>
    </row>
    <row r="156" spans="1:14" x14ac:dyDescent="0.25">
      <c r="A156" s="32" t="s">
        <v>256</v>
      </c>
      <c r="B156" s="32" t="s">
        <v>257</v>
      </c>
      <c r="D156" s="70">
        <v>-9533.33</v>
      </c>
      <c r="E156" s="70">
        <v>100</v>
      </c>
      <c r="G156" s="70">
        <v>-9533.33</v>
      </c>
      <c r="H156" s="70">
        <v>-9533.33</v>
      </c>
      <c r="I156" s="103">
        <v>-8000</v>
      </c>
      <c r="J156" s="89">
        <f>I156*DATAARK!$B$3</f>
        <v>-8000</v>
      </c>
      <c r="K156" s="89">
        <f>J156*DATAARK!$C$3</f>
        <v>-8000</v>
      </c>
      <c r="N156" s="40">
        <f t="shared" si="5"/>
        <v>0</v>
      </c>
    </row>
    <row r="157" spans="1:14" x14ac:dyDescent="0.25">
      <c r="A157" s="32" t="s">
        <v>258</v>
      </c>
      <c r="B157" s="32" t="s">
        <v>259</v>
      </c>
      <c r="J157" s="89">
        <f>I157*DATAARK!$B$3</f>
        <v>0</v>
      </c>
      <c r="K157" s="89">
        <f>J157*DATAARK!$C$3</f>
        <v>0</v>
      </c>
      <c r="N157" s="40">
        <f t="shared" si="5"/>
        <v>0</v>
      </c>
    </row>
    <row r="158" spans="1:14" x14ac:dyDescent="0.25">
      <c r="A158" s="32" t="s">
        <v>260</v>
      </c>
      <c r="B158" s="32" t="s">
        <v>261</v>
      </c>
      <c r="D158" s="70">
        <v>-115825</v>
      </c>
      <c r="E158" s="70">
        <v>100</v>
      </c>
      <c r="G158" s="70">
        <v>-115825</v>
      </c>
      <c r="H158" s="70">
        <v>0</v>
      </c>
      <c r="I158" s="103">
        <v>0</v>
      </c>
      <c r="J158" s="89">
        <f>I158*DATAARK!$B$3</f>
        <v>0</v>
      </c>
      <c r="K158" s="89">
        <f>J158*DATAARK!$C$3</f>
        <v>0</v>
      </c>
      <c r="N158" s="40">
        <f t="shared" si="5"/>
        <v>0</v>
      </c>
    </row>
    <row r="159" spans="1:14" x14ac:dyDescent="0.25">
      <c r="A159" s="32" t="s">
        <v>262</v>
      </c>
      <c r="B159" s="32" t="s">
        <v>263</v>
      </c>
      <c r="J159" s="89">
        <f>I159*DATAARK!$B$3</f>
        <v>0</v>
      </c>
      <c r="K159" s="89">
        <f>J159*DATAARK!$C$3</f>
        <v>0</v>
      </c>
      <c r="N159" s="40">
        <f t="shared" si="5"/>
        <v>0</v>
      </c>
    </row>
    <row r="160" spans="1:14" x14ac:dyDescent="0.25">
      <c r="A160" s="32" t="s">
        <v>264</v>
      </c>
      <c r="B160" s="32" t="s">
        <v>265</v>
      </c>
      <c r="J160" s="89">
        <f>I160*DATAARK!$B$3</f>
        <v>0</v>
      </c>
      <c r="K160" s="89">
        <f>J160*DATAARK!$C$3</f>
        <v>0</v>
      </c>
      <c r="N160" s="40">
        <f t="shared" si="5"/>
        <v>0</v>
      </c>
    </row>
    <row r="161" spans="1:14" x14ac:dyDescent="0.25">
      <c r="A161" s="32" t="s">
        <v>266</v>
      </c>
      <c r="B161" s="32" t="s">
        <v>267</v>
      </c>
      <c r="J161" s="89">
        <f>I161*DATAARK!$B$3</f>
        <v>0</v>
      </c>
      <c r="K161" s="89">
        <f>J161*DATAARK!$C$3</f>
        <v>0</v>
      </c>
      <c r="N161" s="40">
        <f t="shared" si="5"/>
        <v>0</v>
      </c>
    </row>
    <row r="162" spans="1:14" x14ac:dyDescent="0.25">
      <c r="A162" s="32" t="s">
        <v>268</v>
      </c>
      <c r="B162" s="32" t="s">
        <v>269</v>
      </c>
      <c r="C162" s="70">
        <v>-58953.79</v>
      </c>
      <c r="D162" s="70">
        <v>-108000</v>
      </c>
      <c r="E162" s="70">
        <v>45.41</v>
      </c>
      <c r="F162" s="70">
        <v>54.59</v>
      </c>
      <c r="G162" s="70">
        <v>-49046.21</v>
      </c>
      <c r="H162" s="70">
        <v>-117907.58</v>
      </c>
      <c r="J162" s="89">
        <f>I162*DATAARK!$B$3</f>
        <v>0</v>
      </c>
      <c r="K162" s="89">
        <f>J162*DATAARK!$C$3</f>
        <v>0</v>
      </c>
      <c r="N162" s="40">
        <f t="shared" si="5"/>
        <v>0</v>
      </c>
    </row>
    <row r="163" spans="1:14" x14ac:dyDescent="0.25">
      <c r="A163" s="32" t="s">
        <v>270</v>
      </c>
      <c r="B163" s="32" t="s">
        <v>271</v>
      </c>
      <c r="C163" s="70">
        <v>-22639.41</v>
      </c>
      <c r="D163" s="70">
        <v>-88000</v>
      </c>
      <c r="E163" s="70">
        <v>74.27</v>
      </c>
      <c r="F163" s="70">
        <v>25.73</v>
      </c>
      <c r="G163" s="70">
        <v>-65360.59</v>
      </c>
      <c r="H163" s="70">
        <v>-88000</v>
      </c>
      <c r="J163" s="89">
        <f>I163*DATAARK!$B$3</f>
        <v>0</v>
      </c>
      <c r="K163" s="89">
        <f>J163*DATAARK!$C$3</f>
        <v>0</v>
      </c>
      <c r="N163" s="40">
        <f t="shared" si="5"/>
        <v>0</v>
      </c>
    </row>
    <row r="164" spans="1:14" x14ac:dyDescent="0.25">
      <c r="A164" s="32" t="s">
        <v>272</v>
      </c>
      <c r="B164" s="32" t="s">
        <v>273</v>
      </c>
      <c r="C164" s="70">
        <v>-20895.95</v>
      </c>
      <c r="D164" s="70">
        <v>-12000</v>
      </c>
      <c r="E164" s="70">
        <v>-74.13</v>
      </c>
      <c r="F164" s="70">
        <v>174.13</v>
      </c>
      <c r="G164" s="70">
        <v>8895.9500000000007</v>
      </c>
      <c r="H164" s="70">
        <v>-41791.9</v>
      </c>
      <c r="J164" s="89">
        <f>I164*DATAARK!$B$3</f>
        <v>0</v>
      </c>
      <c r="K164" s="89">
        <f>J164*DATAARK!$C$3</f>
        <v>0</v>
      </c>
      <c r="N164" s="40">
        <f t="shared" si="5"/>
        <v>0</v>
      </c>
    </row>
    <row r="165" spans="1:14" x14ac:dyDescent="0.25">
      <c r="A165" s="32" t="s">
        <v>274</v>
      </c>
      <c r="B165" s="32" t="s">
        <v>275</v>
      </c>
      <c r="C165" s="70">
        <v>-576.38</v>
      </c>
      <c r="D165" s="70">
        <v>-10000</v>
      </c>
      <c r="E165" s="70">
        <v>94.24</v>
      </c>
      <c r="F165" s="70">
        <v>5.76</v>
      </c>
      <c r="G165" s="70">
        <v>-9423.6200000000008</v>
      </c>
      <c r="H165" s="70">
        <v>-10000</v>
      </c>
      <c r="J165" s="89">
        <f>I165*DATAARK!$B$3</f>
        <v>0</v>
      </c>
      <c r="K165" s="89">
        <f>J165*DATAARK!$C$3</f>
        <v>0</v>
      </c>
      <c r="N165" s="40">
        <f t="shared" si="5"/>
        <v>0</v>
      </c>
    </row>
    <row r="166" spans="1:14" x14ac:dyDescent="0.25">
      <c r="A166" s="32" t="s">
        <v>276</v>
      </c>
      <c r="B166" s="32" t="s">
        <v>277</v>
      </c>
      <c r="C166" s="70">
        <v>-551.53</v>
      </c>
      <c r="D166" s="70">
        <v>-10000</v>
      </c>
      <c r="E166" s="70">
        <v>94.48</v>
      </c>
      <c r="F166" s="70">
        <v>5.52</v>
      </c>
      <c r="G166" s="70">
        <v>-9448.4699999999993</v>
      </c>
      <c r="H166" s="70">
        <v>-10000</v>
      </c>
      <c r="J166" s="89">
        <f>I166*DATAARK!$B$3</f>
        <v>0</v>
      </c>
      <c r="K166" s="89">
        <f>J166*DATAARK!$C$3</f>
        <v>0</v>
      </c>
      <c r="N166" s="40">
        <f t="shared" si="5"/>
        <v>0</v>
      </c>
    </row>
    <row r="167" spans="1:14" x14ac:dyDescent="0.25">
      <c r="A167" s="32" t="s">
        <v>278</v>
      </c>
      <c r="B167" s="32" t="s">
        <v>279</v>
      </c>
      <c r="J167" s="89">
        <f>I167*DATAARK!$B$3</f>
        <v>0</v>
      </c>
      <c r="K167" s="89">
        <f>J167*DATAARK!$C$3</f>
        <v>0</v>
      </c>
      <c r="N167" s="40">
        <f t="shared" si="5"/>
        <v>0</v>
      </c>
    </row>
    <row r="168" spans="1:14" x14ac:dyDescent="0.25">
      <c r="A168" s="32" t="s">
        <v>280</v>
      </c>
      <c r="B168" s="32" t="s">
        <v>281</v>
      </c>
      <c r="C168" s="70">
        <v>-19645.669999999998</v>
      </c>
      <c r="D168" s="70">
        <v>-20000</v>
      </c>
      <c r="E168" s="70">
        <v>1.77</v>
      </c>
      <c r="F168" s="70">
        <v>98.23</v>
      </c>
      <c r="G168" s="70">
        <v>-354.33</v>
      </c>
      <c r="H168" s="70">
        <v>-20000</v>
      </c>
      <c r="I168" s="103">
        <v>-20000</v>
      </c>
      <c r="J168" s="89">
        <f>I168*DATAARK!$B$3</f>
        <v>-20000</v>
      </c>
      <c r="K168" s="89">
        <f>J168*DATAARK!$C$3</f>
        <v>-20000</v>
      </c>
      <c r="N168" s="40">
        <f t="shared" si="5"/>
        <v>0</v>
      </c>
    </row>
    <row r="169" spans="1:14" x14ac:dyDescent="0.25">
      <c r="A169" s="32" t="s">
        <v>282</v>
      </c>
      <c r="B169" s="32" t="s">
        <v>283</v>
      </c>
      <c r="C169" s="70">
        <v>-9202.92</v>
      </c>
      <c r="D169" s="70">
        <v>-25000</v>
      </c>
      <c r="E169" s="70">
        <v>63.19</v>
      </c>
      <c r="F169" s="70">
        <v>36.81</v>
      </c>
      <c r="G169" s="70">
        <v>-15797.08</v>
      </c>
      <c r="H169" s="70">
        <v>-25000</v>
      </c>
      <c r="J169" s="89">
        <f>I169*DATAARK!$B$3</f>
        <v>0</v>
      </c>
      <c r="K169" s="89">
        <f>J169*DATAARK!$C$3</f>
        <v>0</v>
      </c>
      <c r="N169" s="40">
        <f t="shared" si="5"/>
        <v>0</v>
      </c>
    </row>
    <row r="170" spans="1:14" x14ac:dyDescent="0.25">
      <c r="A170" s="32" t="s">
        <v>284</v>
      </c>
      <c r="B170" s="32" t="s">
        <v>285</v>
      </c>
      <c r="J170" s="89">
        <f>I170*DATAARK!$B$3</f>
        <v>0</v>
      </c>
      <c r="K170" s="89">
        <f>J170*DATAARK!$C$3</f>
        <v>0</v>
      </c>
      <c r="N170" s="40">
        <f t="shared" si="5"/>
        <v>0</v>
      </c>
    </row>
    <row r="171" spans="1:14" x14ac:dyDescent="0.25">
      <c r="A171" s="32" t="s">
        <v>286</v>
      </c>
      <c r="B171" s="32" t="s">
        <v>287</v>
      </c>
      <c r="J171" s="89">
        <f>I171*DATAARK!$B$3</f>
        <v>0</v>
      </c>
      <c r="K171" s="89">
        <f>J171*DATAARK!$C$3</f>
        <v>0</v>
      </c>
      <c r="N171" s="40">
        <f t="shared" si="5"/>
        <v>0</v>
      </c>
    </row>
    <row r="172" spans="1:14" x14ac:dyDescent="0.25">
      <c r="A172" s="32" t="s">
        <v>288</v>
      </c>
      <c r="B172" s="32" t="s">
        <v>289</v>
      </c>
      <c r="J172" s="89">
        <f>I172*DATAARK!$B$3</f>
        <v>0</v>
      </c>
      <c r="K172" s="89">
        <f>J172*DATAARK!$C$3</f>
        <v>0</v>
      </c>
      <c r="N172" s="40">
        <f t="shared" si="5"/>
        <v>0</v>
      </c>
    </row>
    <row r="173" spans="1:14" x14ac:dyDescent="0.25">
      <c r="A173" s="32" t="s">
        <v>290</v>
      </c>
      <c r="B173" s="32" t="s">
        <v>291</v>
      </c>
      <c r="C173" s="70">
        <v>-4476.8</v>
      </c>
      <c r="D173" s="70">
        <v>-15000</v>
      </c>
      <c r="E173" s="70">
        <v>70.150000000000006</v>
      </c>
      <c r="F173" s="70">
        <v>29.85</v>
      </c>
      <c r="G173" s="70">
        <v>-10523.2</v>
      </c>
      <c r="H173" s="70">
        <v>-15000</v>
      </c>
      <c r="I173" s="103">
        <v>-15000</v>
      </c>
      <c r="J173" s="89">
        <f>I173*DATAARK!$B$3</f>
        <v>-15000</v>
      </c>
      <c r="K173" s="89">
        <f>J173*DATAARK!$C$3</f>
        <v>-15000</v>
      </c>
      <c r="N173" s="40">
        <f t="shared" si="5"/>
        <v>0</v>
      </c>
    </row>
    <row r="174" spans="1:14" x14ac:dyDescent="0.25">
      <c r="A174" s="32" t="s">
        <v>292</v>
      </c>
      <c r="B174" s="32" t="s">
        <v>293</v>
      </c>
      <c r="C174" s="70">
        <v>-9378.86</v>
      </c>
      <c r="D174" s="70">
        <v>-52000</v>
      </c>
      <c r="E174" s="70">
        <v>81.96</v>
      </c>
      <c r="F174" s="70">
        <v>18.04</v>
      </c>
      <c r="G174" s="70">
        <v>-42621.14</v>
      </c>
      <c r="H174" s="70">
        <v>-52000</v>
      </c>
      <c r="I174" s="103">
        <v>-52000</v>
      </c>
      <c r="J174" s="89">
        <f>I174*DATAARK!$B$3</f>
        <v>-52000</v>
      </c>
      <c r="K174" s="89">
        <f>J174*DATAARK!$C$3</f>
        <v>-52000</v>
      </c>
      <c r="N174" s="40">
        <f t="shared" si="5"/>
        <v>0</v>
      </c>
    </row>
    <row r="175" spans="1:14" x14ac:dyDescent="0.25">
      <c r="A175" s="32" t="s">
        <v>294</v>
      </c>
      <c r="B175" s="32" t="s">
        <v>295</v>
      </c>
      <c r="C175" s="70">
        <v>-201878.79</v>
      </c>
      <c r="G175" s="70">
        <v>201878.79</v>
      </c>
      <c r="H175" s="70">
        <v>-17967.75</v>
      </c>
      <c r="J175" s="89">
        <f>I175*DATAARK!$B$3</f>
        <v>0</v>
      </c>
      <c r="K175" s="89">
        <f>J175*DATAARK!$C$3</f>
        <v>0</v>
      </c>
      <c r="N175" s="40">
        <f t="shared" si="5"/>
        <v>0</v>
      </c>
    </row>
    <row r="176" spans="1:14" x14ac:dyDescent="0.25">
      <c r="A176" s="32" t="s">
        <v>296</v>
      </c>
      <c r="B176" s="32" t="s">
        <v>297</v>
      </c>
      <c r="C176" s="70">
        <v>-1022.35</v>
      </c>
      <c r="D176" s="70">
        <v>-1200</v>
      </c>
      <c r="E176" s="70">
        <v>14.8</v>
      </c>
      <c r="F176" s="70">
        <v>85.2</v>
      </c>
      <c r="G176" s="70">
        <v>-177.65</v>
      </c>
      <c r="H176" s="70">
        <v>-1200</v>
      </c>
      <c r="I176" s="103">
        <v>-1200</v>
      </c>
      <c r="J176" s="89">
        <f>I176*DATAARK!$B$3</f>
        <v>-1200</v>
      </c>
      <c r="K176" s="89">
        <f>J176*DATAARK!$C$3</f>
        <v>-1200</v>
      </c>
      <c r="N176" s="40">
        <f t="shared" si="5"/>
        <v>0</v>
      </c>
    </row>
    <row r="177" spans="1:14" x14ac:dyDescent="0.25">
      <c r="A177" s="32" t="s">
        <v>298</v>
      </c>
      <c r="B177" s="32" t="s">
        <v>299</v>
      </c>
      <c r="C177" s="70">
        <v>-70381.399999999994</v>
      </c>
      <c r="D177" s="70">
        <v>-250000</v>
      </c>
      <c r="E177" s="70">
        <v>71.849999999999994</v>
      </c>
      <c r="F177" s="70">
        <v>28.15</v>
      </c>
      <c r="G177" s="70">
        <v>-179618.6</v>
      </c>
      <c r="H177" s="70">
        <v>-250000</v>
      </c>
      <c r="I177" s="103">
        <v>-250000</v>
      </c>
      <c r="J177" s="89">
        <f>I177*DATAARK!$B$3</f>
        <v>-250000</v>
      </c>
      <c r="K177" s="89">
        <f>J177*DATAARK!$C$3</f>
        <v>-250000</v>
      </c>
      <c r="N177" s="40">
        <f t="shared" si="5"/>
        <v>0</v>
      </c>
    </row>
    <row r="178" spans="1:14" x14ac:dyDescent="0.25">
      <c r="A178" s="32" t="s">
        <v>300</v>
      </c>
      <c r="B178" s="32" t="s">
        <v>301</v>
      </c>
      <c r="C178" s="70">
        <v>-12191.79</v>
      </c>
      <c r="D178" s="70">
        <v>-2000</v>
      </c>
      <c r="E178" s="70">
        <v>-509.59</v>
      </c>
      <c r="F178" s="70">
        <v>609.59</v>
      </c>
      <c r="G178" s="70">
        <v>10191.790000000001</v>
      </c>
      <c r="H178" s="70">
        <v>-12191.79</v>
      </c>
      <c r="I178" s="103">
        <v>-15000</v>
      </c>
      <c r="J178" s="89">
        <f>I178*DATAARK!$B$3</f>
        <v>-15000</v>
      </c>
      <c r="K178" s="89">
        <f>J178*DATAARK!$C$3</f>
        <v>-15000</v>
      </c>
      <c r="N178" s="40">
        <f t="shared" si="5"/>
        <v>0</v>
      </c>
    </row>
    <row r="179" spans="1:14" x14ac:dyDescent="0.25">
      <c r="A179" s="32" t="s">
        <v>302</v>
      </c>
      <c r="B179" s="32" t="s">
        <v>303</v>
      </c>
      <c r="C179" s="70">
        <v>-1430</v>
      </c>
      <c r="D179" s="70">
        <v>-10000</v>
      </c>
      <c r="E179" s="70">
        <v>85.7</v>
      </c>
      <c r="F179" s="70">
        <v>14.3</v>
      </c>
      <c r="G179" s="70">
        <v>-8570</v>
      </c>
      <c r="H179" s="70">
        <v>-10000</v>
      </c>
      <c r="I179" s="103">
        <v>-10000</v>
      </c>
      <c r="J179" s="89">
        <f>I179*DATAARK!$B$3</f>
        <v>-10000</v>
      </c>
      <c r="K179" s="89">
        <f>J179*DATAARK!$C$3</f>
        <v>-10000</v>
      </c>
      <c r="N179" s="40">
        <f t="shared" si="5"/>
        <v>0</v>
      </c>
    </row>
    <row r="180" spans="1:14" x14ac:dyDescent="0.25">
      <c r="A180" s="32" t="s">
        <v>304</v>
      </c>
      <c r="B180" s="32" t="s">
        <v>305</v>
      </c>
      <c r="D180" s="70">
        <v>-10000</v>
      </c>
      <c r="E180" s="70">
        <v>100</v>
      </c>
      <c r="G180" s="70">
        <v>-10000</v>
      </c>
      <c r="H180" s="70">
        <v>-5000</v>
      </c>
      <c r="I180" s="103">
        <v>-5000</v>
      </c>
      <c r="J180" s="89">
        <f>I180*DATAARK!$B$3</f>
        <v>-5000</v>
      </c>
      <c r="K180" s="89">
        <f>J180*DATAARK!$C$3</f>
        <v>-5000</v>
      </c>
      <c r="N180" s="40">
        <f t="shared" si="5"/>
        <v>0</v>
      </c>
    </row>
    <row r="181" spans="1:14" x14ac:dyDescent="0.25">
      <c r="A181" s="32" t="s">
        <v>306</v>
      </c>
      <c r="B181" s="32" t="s">
        <v>307</v>
      </c>
      <c r="C181" s="70">
        <v>-1664</v>
      </c>
      <c r="D181" s="70">
        <v>-15000</v>
      </c>
      <c r="E181" s="70">
        <v>88.91</v>
      </c>
      <c r="F181" s="70">
        <v>11.09</v>
      </c>
      <c r="G181" s="70">
        <v>-13336</v>
      </c>
      <c r="H181" s="70">
        <v>-15000</v>
      </c>
      <c r="I181" s="103">
        <v>-15000</v>
      </c>
      <c r="J181" s="89">
        <f>I181*DATAARK!$B$3</f>
        <v>-15000</v>
      </c>
      <c r="K181" s="89">
        <f>J181*DATAARK!$C$3</f>
        <v>-15000</v>
      </c>
      <c r="N181" s="40">
        <f t="shared" si="5"/>
        <v>0</v>
      </c>
    </row>
    <row r="182" spans="1:14" x14ac:dyDescent="0.25">
      <c r="A182" s="32" t="s">
        <v>308</v>
      </c>
      <c r="B182" s="32" t="s">
        <v>309</v>
      </c>
      <c r="C182" s="70">
        <v>-2728.7</v>
      </c>
      <c r="D182" s="70">
        <v>-20000</v>
      </c>
      <c r="E182" s="70">
        <v>86.36</v>
      </c>
      <c r="F182" s="70">
        <v>13.64</v>
      </c>
      <c r="G182" s="70">
        <v>-17271.3</v>
      </c>
      <c r="H182" s="70">
        <v>-20000</v>
      </c>
      <c r="I182" s="103">
        <v>-20000</v>
      </c>
      <c r="J182" s="89">
        <f>I182*DATAARK!$B$3</f>
        <v>-20000</v>
      </c>
      <c r="K182" s="89">
        <f>J182*DATAARK!$C$3</f>
        <v>-20000</v>
      </c>
      <c r="N182" s="40">
        <f t="shared" si="5"/>
        <v>0</v>
      </c>
    </row>
    <row r="183" spans="1:14" x14ac:dyDescent="0.25">
      <c r="A183" s="32" t="s">
        <v>310</v>
      </c>
      <c r="B183" s="32" t="s">
        <v>311</v>
      </c>
      <c r="C183" s="70">
        <v>-446</v>
      </c>
      <c r="D183" s="70">
        <v>-5000</v>
      </c>
      <c r="E183" s="70">
        <v>91.08</v>
      </c>
      <c r="F183" s="70">
        <v>8.92</v>
      </c>
      <c r="G183" s="70">
        <v>-4554</v>
      </c>
      <c r="H183" s="70">
        <v>-5000</v>
      </c>
      <c r="I183" s="103">
        <v>-5000</v>
      </c>
      <c r="J183" s="89">
        <f>I183*DATAARK!$B$3</f>
        <v>-5000</v>
      </c>
      <c r="K183" s="89">
        <f>J183*DATAARK!$C$3</f>
        <v>-5000</v>
      </c>
      <c r="N183" s="40">
        <f t="shared" si="5"/>
        <v>0</v>
      </c>
    </row>
    <row r="184" spans="1:14" x14ac:dyDescent="0.25">
      <c r="A184" s="32" t="s">
        <v>312</v>
      </c>
      <c r="B184" s="32" t="s">
        <v>313</v>
      </c>
      <c r="C184" s="70">
        <v>-5244.8</v>
      </c>
      <c r="D184" s="70">
        <v>-47666.67</v>
      </c>
      <c r="E184" s="70">
        <v>89</v>
      </c>
      <c r="F184" s="70">
        <v>11</v>
      </c>
      <c r="G184" s="70">
        <v>-42421.87</v>
      </c>
      <c r="H184" s="70">
        <v>-47666.67</v>
      </c>
      <c r="I184" s="103">
        <v>-32000</v>
      </c>
      <c r="J184" s="89">
        <f>I184*DATAARK!$B$3</f>
        <v>-32000</v>
      </c>
      <c r="K184" s="89">
        <f>J184*DATAARK!$C$3</f>
        <v>-32000</v>
      </c>
      <c r="N184" s="40">
        <f t="shared" si="5"/>
        <v>0</v>
      </c>
    </row>
    <row r="185" spans="1:14" x14ac:dyDescent="0.25">
      <c r="A185" s="32" t="s">
        <v>314</v>
      </c>
      <c r="B185" s="32" t="s">
        <v>315</v>
      </c>
      <c r="C185" s="70">
        <v>-2652.79</v>
      </c>
      <c r="D185" s="70">
        <v>-20000</v>
      </c>
      <c r="E185" s="70">
        <v>86.74</v>
      </c>
      <c r="F185" s="70">
        <v>13.26</v>
      </c>
      <c r="G185" s="70">
        <v>-17347.21</v>
      </c>
      <c r="H185" s="70">
        <v>-20000</v>
      </c>
      <c r="I185" s="103">
        <v>-20000</v>
      </c>
      <c r="J185" s="89">
        <f>I185*DATAARK!$B$3</f>
        <v>-20000</v>
      </c>
      <c r="K185" s="89">
        <f>J185*DATAARK!$C$3</f>
        <v>-20000</v>
      </c>
      <c r="N185" s="40">
        <f t="shared" si="5"/>
        <v>0</v>
      </c>
    </row>
    <row r="186" spans="1:14" x14ac:dyDescent="0.25">
      <c r="A186" s="32" t="s">
        <v>316</v>
      </c>
      <c r="B186" s="32" t="s">
        <v>317</v>
      </c>
      <c r="C186" s="70">
        <v>-2730.87</v>
      </c>
      <c r="D186" s="70">
        <v>-25000</v>
      </c>
      <c r="E186" s="70">
        <v>89.08</v>
      </c>
      <c r="F186" s="70">
        <v>10.92</v>
      </c>
      <c r="G186" s="70">
        <v>-22269.13</v>
      </c>
      <c r="H186" s="70">
        <v>-25000</v>
      </c>
      <c r="I186" s="103">
        <v>-15000</v>
      </c>
      <c r="J186" s="89">
        <f>I186*DATAARK!$B$3</f>
        <v>-15000</v>
      </c>
      <c r="K186" s="89">
        <f>J186*DATAARK!$C$3</f>
        <v>-15000</v>
      </c>
      <c r="N186" s="40">
        <f t="shared" si="5"/>
        <v>0</v>
      </c>
    </row>
    <row r="187" spans="1:14" x14ac:dyDescent="0.25">
      <c r="A187" s="32" t="s">
        <v>318</v>
      </c>
      <c r="B187" s="32" t="s">
        <v>319</v>
      </c>
      <c r="C187" s="70">
        <v>-3856.92</v>
      </c>
      <c r="D187" s="70">
        <v>-100000</v>
      </c>
      <c r="E187" s="70">
        <v>96.14</v>
      </c>
      <c r="F187" s="70">
        <v>3.86</v>
      </c>
      <c r="G187" s="70">
        <v>-96143.08</v>
      </c>
      <c r="H187" s="70">
        <v>-100000</v>
      </c>
      <c r="I187" s="103">
        <v>-50000</v>
      </c>
      <c r="J187" s="89">
        <f>I187*DATAARK!$B$3</f>
        <v>-50000</v>
      </c>
      <c r="K187" s="89">
        <f>J187*DATAARK!$C$3</f>
        <v>-50000</v>
      </c>
      <c r="N187" s="40">
        <f t="shared" si="5"/>
        <v>0</v>
      </c>
    </row>
    <row r="188" spans="1:14" x14ac:dyDescent="0.25">
      <c r="A188" s="32" t="s">
        <v>320</v>
      </c>
      <c r="B188" s="32" t="s">
        <v>321</v>
      </c>
      <c r="C188" s="70">
        <v>-1213.5999999999999</v>
      </c>
      <c r="D188" s="70">
        <v>-38133.33</v>
      </c>
      <c r="E188" s="70">
        <v>96.82</v>
      </c>
      <c r="F188" s="70">
        <v>3.18</v>
      </c>
      <c r="G188" s="70">
        <v>-36919.730000000003</v>
      </c>
      <c r="H188" s="70">
        <v>-38133.33</v>
      </c>
      <c r="I188" s="103">
        <v>-40000</v>
      </c>
      <c r="J188" s="89">
        <f>I188*DATAARK!$B$3</f>
        <v>-40000</v>
      </c>
      <c r="K188" s="89">
        <f>J188*DATAARK!$C$3</f>
        <v>-40000</v>
      </c>
      <c r="N188" s="40">
        <f t="shared" si="5"/>
        <v>0</v>
      </c>
    </row>
    <row r="189" spans="1:14" x14ac:dyDescent="0.25">
      <c r="A189" s="32" t="s">
        <v>322</v>
      </c>
      <c r="B189" s="32" t="s">
        <v>323</v>
      </c>
      <c r="C189" s="70">
        <v>-56824.47</v>
      </c>
      <c r="D189" s="70">
        <v>-680360</v>
      </c>
      <c r="E189" s="70">
        <v>91.65</v>
      </c>
      <c r="F189" s="70">
        <v>8.35</v>
      </c>
      <c r="G189" s="70">
        <v>-623535.53</v>
      </c>
      <c r="H189" s="70">
        <v>-680360</v>
      </c>
      <c r="I189" s="103">
        <v>-500000</v>
      </c>
      <c r="J189" s="89">
        <f>I189*DATAARK!$B$3</f>
        <v>-500000</v>
      </c>
      <c r="K189" s="89">
        <f>J189*DATAARK!$C$3</f>
        <v>-500000</v>
      </c>
      <c r="N189" s="40">
        <f t="shared" si="5"/>
        <v>0</v>
      </c>
    </row>
    <row r="190" spans="1:14" x14ac:dyDescent="0.25">
      <c r="A190" s="32" t="s">
        <v>324</v>
      </c>
      <c r="B190" s="32" t="s">
        <v>325</v>
      </c>
      <c r="J190" s="89">
        <f>I190*DATAARK!$B$3</f>
        <v>0</v>
      </c>
      <c r="K190" s="89">
        <f>J190*DATAARK!$C$3</f>
        <v>0</v>
      </c>
      <c r="N190" s="40">
        <f t="shared" si="5"/>
        <v>0</v>
      </c>
    </row>
    <row r="191" spans="1:14" x14ac:dyDescent="0.25">
      <c r="A191" s="32" t="s">
        <v>326</v>
      </c>
      <c r="B191" s="32" t="s">
        <v>327</v>
      </c>
      <c r="C191" s="70">
        <v>-94559.34</v>
      </c>
      <c r="D191" s="70">
        <v>-140000</v>
      </c>
      <c r="E191" s="70">
        <v>32.46</v>
      </c>
      <c r="F191" s="70">
        <v>67.540000000000006</v>
      </c>
      <c r="G191" s="70">
        <v>-45440.66</v>
      </c>
      <c r="H191" s="70">
        <v>-140000</v>
      </c>
      <c r="I191" s="103">
        <v>-140000</v>
      </c>
      <c r="J191" s="89">
        <f>I191*DATAARK!$B$3</f>
        <v>-140000</v>
      </c>
      <c r="K191" s="89">
        <f>J191*DATAARK!$C$3</f>
        <v>-140000</v>
      </c>
      <c r="N191" s="40">
        <f t="shared" si="5"/>
        <v>0</v>
      </c>
    </row>
    <row r="192" spans="1:14" x14ac:dyDescent="0.25">
      <c r="A192" s="32" t="s">
        <v>328</v>
      </c>
      <c r="B192" s="32" t="s">
        <v>329</v>
      </c>
      <c r="D192" s="70">
        <v>-252000</v>
      </c>
      <c r="E192" s="70">
        <v>100</v>
      </c>
      <c r="G192" s="70">
        <v>-252000</v>
      </c>
      <c r="H192" s="70">
        <v>-252000</v>
      </c>
      <c r="J192" s="89">
        <f>I192*DATAARK!$B$3</f>
        <v>0</v>
      </c>
      <c r="K192" s="89">
        <f>J192*DATAARK!$C$3</f>
        <v>0</v>
      </c>
      <c r="N192" s="40">
        <f t="shared" si="5"/>
        <v>0</v>
      </c>
    </row>
    <row r="193" spans="1:14" x14ac:dyDescent="0.25">
      <c r="A193" s="32" t="s">
        <v>330</v>
      </c>
      <c r="B193" s="32" t="s">
        <v>331</v>
      </c>
      <c r="D193" s="70">
        <v>-100000</v>
      </c>
      <c r="E193" s="70">
        <v>100</v>
      </c>
      <c r="G193" s="70">
        <v>-100000</v>
      </c>
      <c r="H193" s="70">
        <v>-100000</v>
      </c>
      <c r="I193" s="103">
        <v>-100000</v>
      </c>
      <c r="J193" s="89">
        <f>I193*DATAARK!$B$3</f>
        <v>-100000</v>
      </c>
      <c r="K193" s="89">
        <f>J193*DATAARK!$C$3</f>
        <v>-100000</v>
      </c>
      <c r="N193" s="40">
        <f t="shared" si="5"/>
        <v>0</v>
      </c>
    </row>
    <row r="194" spans="1:14" x14ac:dyDescent="0.25">
      <c r="A194" s="32" t="s">
        <v>332</v>
      </c>
      <c r="B194" s="32" t="s">
        <v>333</v>
      </c>
      <c r="J194" s="89">
        <f>I194*DATAARK!$B$3</f>
        <v>0</v>
      </c>
      <c r="K194" s="89">
        <f>J194*DATAARK!$C$3</f>
        <v>0</v>
      </c>
      <c r="N194" s="40">
        <f t="shared" si="5"/>
        <v>0</v>
      </c>
    </row>
    <row r="195" spans="1:14" x14ac:dyDescent="0.25">
      <c r="A195" s="32" t="s">
        <v>334</v>
      </c>
      <c r="B195" s="32" t="s">
        <v>335</v>
      </c>
      <c r="D195" s="70">
        <v>1</v>
      </c>
      <c r="E195" s="70">
        <v>100</v>
      </c>
      <c r="G195" s="70">
        <v>1</v>
      </c>
      <c r="H195" s="70">
        <v>1</v>
      </c>
      <c r="J195" s="89">
        <f>I195*DATAARK!$B$3</f>
        <v>0</v>
      </c>
      <c r="K195" s="89">
        <f>J195*DATAARK!$C$3</f>
        <v>0</v>
      </c>
      <c r="N195" s="40">
        <f t="shared" si="5"/>
        <v>0</v>
      </c>
    </row>
    <row r="196" spans="1:14" x14ac:dyDescent="0.25">
      <c r="A196" s="32" t="s">
        <v>336</v>
      </c>
      <c r="B196" s="32" t="s">
        <v>337</v>
      </c>
      <c r="J196" s="89">
        <f>I196*DATAARK!$B$3</f>
        <v>0</v>
      </c>
      <c r="K196" s="89">
        <f>J196*DATAARK!$C$3</f>
        <v>0</v>
      </c>
      <c r="N196" s="40">
        <f t="shared" si="5"/>
        <v>0</v>
      </c>
    </row>
    <row r="197" spans="1:14" x14ac:dyDescent="0.25">
      <c r="A197" s="32" t="s">
        <v>338</v>
      </c>
      <c r="B197" s="32" t="s">
        <v>339</v>
      </c>
      <c r="J197" s="89">
        <f>I197*DATAARK!$B$3</f>
        <v>0</v>
      </c>
      <c r="K197" s="89">
        <f>J197*DATAARK!$C$3</f>
        <v>0</v>
      </c>
      <c r="N197" s="40">
        <f t="shared" si="5"/>
        <v>0</v>
      </c>
    </row>
    <row r="198" spans="1:14" x14ac:dyDescent="0.25">
      <c r="A198" s="33" t="s">
        <v>340</v>
      </c>
      <c r="B198" s="33" t="s">
        <v>341</v>
      </c>
      <c r="C198" s="71">
        <v>-1279994.8799999999</v>
      </c>
      <c r="D198" s="71">
        <v>-3693370.29</v>
      </c>
      <c r="E198" s="71">
        <v>65.34</v>
      </c>
      <c r="F198" s="71">
        <v>34.659999999999997</v>
      </c>
      <c r="G198" s="71">
        <v>-2413375.41</v>
      </c>
      <c r="H198" s="71">
        <v>-3693698.4315999998</v>
      </c>
      <c r="I198" s="90">
        <f>SUM(I139:I197)</f>
        <v>-2593951.4176000003</v>
      </c>
      <c r="J198" s="127">
        <f>SUM(J139:J197)</f>
        <v>-3199269.8830749998</v>
      </c>
      <c r="K198" s="90">
        <f>SUM(K139:K197)</f>
        <v>-2863523.7530049998</v>
      </c>
      <c r="N198" s="40">
        <f t="shared" si="5"/>
        <v>0</v>
      </c>
    </row>
    <row r="199" spans="1:14" x14ac:dyDescent="0.25">
      <c r="A199" s="32" t="s">
        <v>12</v>
      </c>
      <c r="B199" s="32" t="s">
        <v>12</v>
      </c>
      <c r="N199" s="40">
        <f t="shared" si="5"/>
        <v>0</v>
      </c>
    </row>
    <row r="200" spans="1:14" x14ac:dyDescent="0.25">
      <c r="A200" s="33" t="s">
        <v>342</v>
      </c>
      <c r="B200" s="33" t="s">
        <v>343</v>
      </c>
      <c r="C200" s="71"/>
      <c r="D200" s="71"/>
      <c r="E200" s="71"/>
      <c r="F200" s="71"/>
      <c r="G200" s="71"/>
      <c r="H200" s="71"/>
      <c r="I200" s="90"/>
      <c r="J200" s="127"/>
      <c r="K200" s="90"/>
      <c r="N200" s="40">
        <f t="shared" si="5"/>
        <v>0</v>
      </c>
    </row>
    <row r="201" spans="1:14" x14ac:dyDescent="0.25">
      <c r="A201" s="32" t="s">
        <v>344</v>
      </c>
      <c r="B201" s="32" t="s">
        <v>345</v>
      </c>
      <c r="J201" s="89">
        <f>I201*DATAARK!$B$3</f>
        <v>0</v>
      </c>
      <c r="K201" s="89">
        <f>J201*DATAARK!$C$3</f>
        <v>0</v>
      </c>
      <c r="N201" s="40">
        <f t="shared" si="5"/>
        <v>0</v>
      </c>
    </row>
    <row r="202" spans="1:14" x14ac:dyDescent="0.25">
      <c r="A202" s="32" t="s">
        <v>346</v>
      </c>
      <c r="B202" s="32" t="s">
        <v>347</v>
      </c>
      <c r="J202" s="89">
        <f>I202*DATAARK!$B$3</f>
        <v>0</v>
      </c>
      <c r="K202" s="89">
        <f>J202*DATAARK!$C$3</f>
        <v>0</v>
      </c>
      <c r="N202" s="40">
        <f t="shared" si="5"/>
        <v>0</v>
      </c>
    </row>
    <row r="203" spans="1:14" x14ac:dyDescent="0.25">
      <c r="A203" s="32" t="s">
        <v>348</v>
      </c>
      <c r="B203" s="32" t="s">
        <v>349</v>
      </c>
      <c r="D203" s="70">
        <v>42000</v>
      </c>
      <c r="E203" s="70">
        <v>100</v>
      </c>
      <c r="G203" s="70">
        <v>42000</v>
      </c>
      <c r="H203" s="70">
        <v>1000</v>
      </c>
      <c r="J203" s="89">
        <f>I203*DATAARK!$B$3</f>
        <v>0</v>
      </c>
      <c r="K203" s="89">
        <f>J203*DATAARK!$C$3</f>
        <v>0</v>
      </c>
      <c r="N203" s="40">
        <f t="shared" si="5"/>
        <v>0</v>
      </c>
    </row>
    <row r="204" spans="1:14" x14ac:dyDescent="0.25">
      <c r="A204" s="32" t="s">
        <v>350</v>
      </c>
      <c r="B204" s="32" t="s">
        <v>351</v>
      </c>
      <c r="J204" s="89">
        <f>I204*DATAARK!$B$3</f>
        <v>0</v>
      </c>
      <c r="K204" s="89">
        <f>J204*DATAARK!$C$3</f>
        <v>0</v>
      </c>
      <c r="N204" s="40">
        <f t="shared" ref="N204:N245" si="6">IF(J204&gt;0,1,0)</f>
        <v>0</v>
      </c>
    </row>
    <row r="205" spans="1:14" x14ac:dyDescent="0.25">
      <c r="A205" s="32" t="s">
        <v>352</v>
      </c>
      <c r="B205" s="32" t="s">
        <v>353</v>
      </c>
      <c r="J205" s="89">
        <f>I205*DATAARK!$B$3</f>
        <v>0</v>
      </c>
      <c r="K205" s="89">
        <f>J205*DATAARK!$C$3</f>
        <v>0</v>
      </c>
      <c r="N205" s="40">
        <f t="shared" si="6"/>
        <v>0</v>
      </c>
    </row>
    <row r="206" spans="1:14" x14ac:dyDescent="0.25">
      <c r="A206" s="32" t="s">
        <v>354</v>
      </c>
      <c r="B206" s="32" t="s">
        <v>355</v>
      </c>
      <c r="J206" s="89">
        <f>I206*DATAARK!$B$3</f>
        <v>0</v>
      </c>
      <c r="K206" s="89">
        <f>J206*DATAARK!$C$3</f>
        <v>0</v>
      </c>
      <c r="N206" s="40">
        <f t="shared" si="6"/>
        <v>0</v>
      </c>
    </row>
    <row r="207" spans="1:14" x14ac:dyDescent="0.25">
      <c r="A207" s="32" t="s">
        <v>356</v>
      </c>
      <c r="B207" s="32" t="s">
        <v>357</v>
      </c>
      <c r="J207" s="89">
        <f>I207*DATAARK!$B$3</f>
        <v>0</v>
      </c>
      <c r="K207" s="89">
        <f>J207*DATAARK!$C$3</f>
        <v>0</v>
      </c>
      <c r="N207" s="40">
        <f t="shared" si="6"/>
        <v>0</v>
      </c>
    </row>
    <row r="208" spans="1:14" x14ac:dyDescent="0.25">
      <c r="A208" s="32" t="s">
        <v>358</v>
      </c>
      <c r="B208" s="32" t="s">
        <v>359</v>
      </c>
      <c r="J208" s="89">
        <f>I208*DATAARK!$B$3</f>
        <v>0</v>
      </c>
      <c r="K208" s="89">
        <f>J208*DATAARK!$C$3</f>
        <v>0</v>
      </c>
      <c r="N208" s="40">
        <f t="shared" si="6"/>
        <v>0</v>
      </c>
    </row>
    <row r="209" spans="1:14" x14ac:dyDescent="0.25">
      <c r="A209" s="33" t="s">
        <v>360</v>
      </c>
      <c r="B209" s="33" t="s">
        <v>361</v>
      </c>
      <c r="C209" s="71"/>
      <c r="D209" s="71">
        <v>42000</v>
      </c>
      <c r="E209" s="71">
        <v>100</v>
      </c>
      <c r="F209" s="71"/>
      <c r="G209" s="71">
        <v>42000</v>
      </c>
      <c r="H209" s="71">
        <v>1000</v>
      </c>
      <c r="I209" s="90">
        <f>SUM(I201:I208)</f>
        <v>0</v>
      </c>
      <c r="J209" s="127">
        <f>SUM(J201:J208)</f>
        <v>0</v>
      </c>
      <c r="K209" s="90">
        <f>SUM(K201:K208)</f>
        <v>0</v>
      </c>
      <c r="N209" s="40">
        <f t="shared" si="6"/>
        <v>0</v>
      </c>
    </row>
    <row r="210" spans="1:14" x14ac:dyDescent="0.25">
      <c r="A210" s="32" t="s">
        <v>12</v>
      </c>
      <c r="B210" s="32" t="s">
        <v>12</v>
      </c>
      <c r="N210" s="40">
        <f t="shared" si="6"/>
        <v>0</v>
      </c>
    </row>
    <row r="211" spans="1:14" x14ac:dyDescent="0.25">
      <c r="A211" s="33" t="s">
        <v>362</v>
      </c>
      <c r="B211" s="33" t="s">
        <v>40</v>
      </c>
      <c r="C211" s="71"/>
      <c r="D211" s="71"/>
      <c r="E211" s="71"/>
      <c r="F211" s="71"/>
      <c r="G211" s="71"/>
      <c r="H211" s="71"/>
      <c r="I211" s="90"/>
      <c r="J211" s="127"/>
      <c r="K211" s="90"/>
      <c r="N211" s="40">
        <f t="shared" si="6"/>
        <v>0</v>
      </c>
    </row>
    <row r="212" spans="1:14" x14ac:dyDescent="0.25">
      <c r="A212" s="32" t="s">
        <v>363</v>
      </c>
      <c r="B212" s="32" t="s">
        <v>364</v>
      </c>
      <c r="J212" s="89">
        <f>I212*DATAARK!$B$3</f>
        <v>0</v>
      </c>
      <c r="K212" s="89">
        <f>J212*DATAARK!$C$3</f>
        <v>0</v>
      </c>
      <c r="N212" s="40">
        <f t="shared" si="6"/>
        <v>0</v>
      </c>
    </row>
    <row r="213" spans="1:14" x14ac:dyDescent="0.25">
      <c r="A213" s="32" t="s">
        <v>365</v>
      </c>
      <c r="B213" s="32" t="s">
        <v>366</v>
      </c>
      <c r="J213" s="89">
        <f>I213*DATAARK!$B$3</f>
        <v>0</v>
      </c>
      <c r="K213" s="89">
        <f>J213*DATAARK!$C$3</f>
        <v>0</v>
      </c>
      <c r="N213" s="40">
        <f t="shared" si="6"/>
        <v>0</v>
      </c>
    </row>
    <row r="214" spans="1:14" x14ac:dyDescent="0.25">
      <c r="A214" s="32" t="s">
        <v>367</v>
      </c>
      <c r="B214" s="32" t="s">
        <v>368</v>
      </c>
      <c r="J214" s="89">
        <f>I214*DATAARK!$B$3</f>
        <v>0</v>
      </c>
      <c r="K214" s="89">
        <f>J214*DATAARK!$C$3</f>
        <v>0</v>
      </c>
      <c r="N214" s="40">
        <f t="shared" si="6"/>
        <v>0</v>
      </c>
    </row>
    <row r="215" spans="1:14" x14ac:dyDescent="0.25">
      <c r="A215" s="32" t="s">
        <v>369</v>
      </c>
      <c r="B215" s="32" t="s">
        <v>370</v>
      </c>
      <c r="C215" s="70">
        <v>-1626.3</v>
      </c>
      <c r="G215" s="70">
        <v>1626.3</v>
      </c>
      <c r="H215" s="70">
        <v>-1626.3</v>
      </c>
      <c r="J215" s="89">
        <f>I215*DATAARK!$B$3</f>
        <v>0</v>
      </c>
      <c r="K215" s="89">
        <f>J215*DATAARK!$C$3</f>
        <v>0</v>
      </c>
      <c r="N215" s="40">
        <f t="shared" si="6"/>
        <v>0</v>
      </c>
    </row>
    <row r="216" spans="1:14" x14ac:dyDescent="0.25">
      <c r="A216" s="32" t="s">
        <v>371</v>
      </c>
      <c r="B216" s="32" t="s">
        <v>372</v>
      </c>
      <c r="J216" s="89">
        <f>I216*DATAARK!$B$3</f>
        <v>0</v>
      </c>
      <c r="K216" s="89">
        <f>J216*DATAARK!$C$3</f>
        <v>0</v>
      </c>
      <c r="N216" s="40">
        <f t="shared" si="6"/>
        <v>0</v>
      </c>
    </row>
    <row r="217" spans="1:14" x14ac:dyDescent="0.25">
      <c r="A217" s="32" t="s">
        <v>373</v>
      </c>
      <c r="B217" s="32" t="s">
        <v>374</v>
      </c>
      <c r="J217" s="89">
        <f>I217*DATAARK!$B$3</f>
        <v>0</v>
      </c>
      <c r="K217" s="89">
        <f>J217*DATAARK!$C$3</f>
        <v>0</v>
      </c>
      <c r="N217" s="40">
        <f t="shared" si="6"/>
        <v>0</v>
      </c>
    </row>
    <row r="218" spans="1:14" x14ac:dyDescent="0.25">
      <c r="A218" s="32" t="s">
        <v>375</v>
      </c>
      <c r="B218" s="32" t="s">
        <v>376</v>
      </c>
      <c r="C218" s="70">
        <v>-307.70999999999998</v>
      </c>
      <c r="G218" s="70">
        <v>307.70999999999998</v>
      </c>
      <c r="H218" s="70">
        <v>-307.70999999999998</v>
      </c>
      <c r="J218" s="89">
        <f>I218*DATAARK!$B$3</f>
        <v>0</v>
      </c>
      <c r="K218" s="89">
        <f>J218*DATAARK!$C$3</f>
        <v>0</v>
      </c>
      <c r="N218" s="40">
        <f t="shared" si="6"/>
        <v>0</v>
      </c>
    </row>
    <row r="219" spans="1:14" x14ac:dyDescent="0.25">
      <c r="A219" s="33" t="s">
        <v>377</v>
      </c>
      <c r="B219" s="33" t="s">
        <v>378</v>
      </c>
      <c r="C219" s="71">
        <v>-1934.01</v>
      </c>
      <c r="D219" s="71"/>
      <c r="E219" s="71"/>
      <c r="F219" s="71"/>
      <c r="G219" s="71">
        <v>1934.01</v>
      </c>
      <c r="H219" s="71">
        <v>-1934.01</v>
      </c>
      <c r="I219" s="90">
        <f>SUM(I212:I218)</f>
        <v>0</v>
      </c>
      <c r="J219" s="127">
        <f>SUM(J212:J218)</f>
        <v>0</v>
      </c>
      <c r="K219" s="90">
        <f>SUM(K212:K218)</f>
        <v>0</v>
      </c>
      <c r="N219" s="40">
        <f t="shared" si="6"/>
        <v>0</v>
      </c>
    </row>
    <row r="220" spans="1:14" x14ac:dyDescent="0.25">
      <c r="A220" s="32" t="s">
        <v>12</v>
      </c>
      <c r="B220" s="32" t="s">
        <v>12</v>
      </c>
      <c r="N220" s="40">
        <f t="shared" si="6"/>
        <v>0</v>
      </c>
    </row>
    <row r="221" spans="1:14" x14ac:dyDescent="0.25">
      <c r="A221" s="33" t="s">
        <v>379</v>
      </c>
      <c r="B221" s="33" t="s">
        <v>380</v>
      </c>
      <c r="C221" s="71"/>
      <c r="D221" s="71"/>
      <c r="E221" s="71"/>
      <c r="F221" s="71"/>
      <c r="G221" s="71"/>
      <c r="H221" s="71"/>
      <c r="I221" s="90"/>
      <c r="J221" s="127"/>
      <c r="K221" s="90"/>
      <c r="N221" s="40">
        <f t="shared" si="6"/>
        <v>0</v>
      </c>
    </row>
    <row r="222" spans="1:14" x14ac:dyDescent="0.25">
      <c r="A222" s="32" t="s">
        <v>381</v>
      </c>
      <c r="B222" s="32" t="s">
        <v>380</v>
      </c>
      <c r="J222" s="89">
        <f>I222*DATAARK!$B$3</f>
        <v>0</v>
      </c>
      <c r="K222" s="89">
        <f>J222*DATAARK!$C$3</f>
        <v>0</v>
      </c>
      <c r="N222" s="40">
        <f t="shared" si="6"/>
        <v>0</v>
      </c>
    </row>
    <row r="223" spans="1:14" x14ac:dyDescent="0.25">
      <c r="A223" s="33" t="s">
        <v>382</v>
      </c>
      <c r="B223" s="33" t="s">
        <v>383</v>
      </c>
      <c r="C223" s="71"/>
      <c r="D223" s="71"/>
      <c r="E223" s="71"/>
      <c r="F223" s="71"/>
      <c r="G223" s="71"/>
      <c r="H223" s="71">
        <v>0</v>
      </c>
      <c r="I223" s="90">
        <f>I222</f>
        <v>0</v>
      </c>
      <c r="J223" s="127">
        <f>SUM(J222)</f>
        <v>0</v>
      </c>
      <c r="K223" s="90">
        <f>SUM(K222)</f>
        <v>0</v>
      </c>
      <c r="N223" s="40">
        <f t="shared" si="6"/>
        <v>0</v>
      </c>
    </row>
    <row r="224" spans="1:14" x14ac:dyDescent="0.25">
      <c r="A224" s="32" t="s">
        <v>12</v>
      </c>
      <c r="B224" s="32" t="s">
        <v>12</v>
      </c>
      <c r="N224" s="40">
        <f t="shared" si="6"/>
        <v>0</v>
      </c>
    </row>
    <row r="225" spans="1:14" x14ac:dyDescent="0.25">
      <c r="A225" s="33" t="s">
        <v>384</v>
      </c>
      <c r="B225" s="33" t="s">
        <v>385</v>
      </c>
      <c r="C225" s="71"/>
      <c r="D225" s="71"/>
      <c r="E225" s="71"/>
      <c r="F225" s="71"/>
      <c r="G225" s="71"/>
      <c r="H225" s="71"/>
      <c r="I225" s="90"/>
      <c r="J225" s="127"/>
      <c r="K225" s="90"/>
      <c r="N225" s="40">
        <f t="shared" si="6"/>
        <v>0</v>
      </c>
    </row>
    <row r="226" spans="1:14" x14ac:dyDescent="0.25">
      <c r="A226" s="32" t="s">
        <v>386</v>
      </c>
      <c r="B226" s="32" t="s">
        <v>385</v>
      </c>
      <c r="J226" s="89">
        <f>I226*DATAARK!$B$3</f>
        <v>0</v>
      </c>
      <c r="K226" s="89">
        <f>J226*DATAARK!$C$3</f>
        <v>0</v>
      </c>
      <c r="N226" s="40">
        <f t="shared" si="6"/>
        <v>0</v>
      </c>
    </row>
    <row r="227" spans="1:14" x14ac:dyDescent="0.25">
      <c r="A227" s="33" t="s">
        <v>387</v>
      </c>
      <c r="B227" s="33" t="s">
        <v>388</v>
      </c>
      <c r="C227" s="71"/>
      <c r="D227" s="71"/>
      <c r="E227" s="71"/>
      <c r="F227" s="71"/>
      <c r="G227" s="71"/>
      <c r="H227" s="71">
        <v>0</v>
      </c>
      <c r="I227" s="90">
        <f>I226</f>
        <v>0</v>
      </c>
      <c r="J227" s="127">
        <f>J226</f>
        <v>0</v>
      </c>
      <c r="K227" s="90">
        <f>K226</f>
        <v>0</v>
      </c>
      <c r="N227" s="40">
        <f t="shared" si="6"/>
        <v>0</v>
      </c>
    </row>
    <row r="228" spans="1:14" x14ac:dyDescent="0.25">
      <c r="A228" s="32" t="s">
        <v>12</v>
      </c>
      <c r="B228" s="32" t="s">
        <v>12</v>
      </c>
      <c r="N228" s="40">
        <f t="shared" si="6"/>
        <v>0</v>
      </c>
    </row>
    <row r="229" spans="1:14" ht="15.75" thickBot="1" x14ac:dyDescent="0.3">
      <c r="A229" s="34" t="s">
        <v>389</v>
      </c>
      <c r="B229" s="34" t="s">
        <v>390</v>
      </c>
      <c r="C229" s="72">
        <v>-53620.7</v>
      </c>
      <c r="D229" s="72">
        <v>574910</v>
      </c>
      <c r="E229" s="72">
        <v>109.33</v>
      </c>
      <c r="F229" s="72">
        <v>-9.33</v>
      </c>
      <c r="G229" s="72">
        <v>628530.69999999995</v>
      </c>
      <c r="H229" s="72">
        <v>200000.31033120491</v>
      </c>
      <c r="I229" s="106">
        <f>I219+I209+I223+I227+I198+I136+I127</f>
        <v>2639170.3943312056</v>
      </c>
      <c r="J229" s="130">
        <f>J227+J223+J219+J209+J198+J136+J127</f>
        <v>2362759.1569250012</v>
      </c>
      <c r="K229" s="106">
        <f>K227+K223+K219+K209+K198+K136+K127</f>
        <v>3078449.1469950005</v>
      </c>
      <c r="N229" s="40">
        <f t="shared" si="6"/>
        <v>1</v>
      </c>
    </row>
    <row r="230" spans="1:14" ht="15.75" thickTop="1" x14ac:dyDescent="0.25">
      <c r="A230" s="32" t="s">
        <v>12</v>
      </c>
      <c r="B230" s="32" t="s">
        <v>12</v>
      </c>
      <c r="N230" s="40">
        <f t="shared" si="6"/>
        <v>0</v>
      </c>
    </row>
    <row r="231" spans="1:14" x14ac:dyDescent="0.25">
      <c r="A231" s="33" t="s">
        <v>391</v>
      </c>
      <c r="B231" s="33" t="s">
        <v>392</v>
      </c>
      <c r="C231" s="71"/>
      <c r="D231" s="71"/>
      <c r="E231" s="71"/>
      <c r="F231" s="71"/>
      <c r="G231" s="71"/>
      <c r="H231" s="71"/>
      <c r="I231" s="90"/>
      <c r="J231" s="127"/>
      <c r="K231" s="90"/>
      <c r="N231" s="40">
        <f t="shared" si="6"/>
        <v>0</v>
      </c>
    </row>
    <row r="232" spans="1:14" x14ac:dyDescent="0.25">
      <c r="A232" s="32" t="s">
        <v>393</v>
      </c>
      <c r="B232" s="32" t="s">
        <v>394</v>
      </c>
      <c r="J232" s="89">
        <f>I232*DATAARK!$B$3</f>
        <v>0</v>
      </c>
      <c r="K232" s="89">
        <f>J232*DATAARK!$C$3</f>
        <v>0</v>
      </c>
      <c r="N232" s="40">
        <f t="shared" si="6"/>
        <v>0</v>
      </c>
    </row>
    <row r="233" spans="1:14" x14ac:dyDescent="0.25">
      <c r="A233" s="32" t="s">
        <v>395</v>
      </c>
      <c r="B233" s="32" t="s">
        <v>396</v>
      </c>
      <c r="J233" s="89">
        <f>I233*DATAARK!$B$3</f>
        <v>0</v>
      </c>
      <c r="K233" s="89">
        <f>J233*DATAARK!$C$3</f>
        <v>0</v>
      </c>
      <c r="N233" s="40">
        <f t="shared" si="6"/>
        <v>0</v>
      </c>
    </row>
    <row r="234" spans="1:14" x14ac:dyDescent="0.25">
      <c r="A234" s="32" t="s">
        <v>397</v>
      </c>
      <c r="B234" s="32" t="s">
        <v>398</v>
      </c>
      <c r="J234" s="89">
        <f>I234*DATAARK!$B$3</f>
        <v>0</v>
      </c>
      <c r="K234" s="89">
        <f>J234*DATAARK!$C$3</f>
        <v>0</v>
      </c>
      <c r="N234" s="40">
        <f t="shared" si="6"/>
        <v>0</v>
      </c>
    </row>
    <row r="235" spans="1:14" x14ac:dyDescent="0.25">
      <c r="A235" s="33" t="s">
        <v>399</v>
      </c>
      <c r="B235" s="33" t="s">
        <v>400</v>
      </c>
      <c r="C235" s="71"/>
      <c r="D235" s="71"/>
      <c r="E235" s="71"/>
      <c r="F235" s="71"/>
      <c r="G235" s="71"/>
      <c r="H235" s="71">
        <v>0</v>
      </c>
      <c r="I235" s="90">
        <f>SUM(I232:I234)</f>
        <v>0</v>
      </c>
      <c r="J235" s="127">
        <f>SUM(J232:J234)</f>
        <v>0</v>
      </c>
      <c r="K235" s="90">
        <f>SUM(K232:K234)</f>
        <v>0</v>
      </c>
      <c r="N235" s="40">
        <f t="shared" si="6"/>
        <v>0</v>
      </c>
    </row>
    <row r="236" spans="1:14" x14ac:dyDescent="0.25">
      <c r="A236" s="32" t="s">
        <v>12</v>
      </c>
      <c r="B236" s="32" t="s">
        <v>12</v>
      </c>
      <c r="N236" s="40">
        <f t="shared" si="6"/>
        <v>0</v>
      </c>
    </row>
    <row r="237" spans="1:14" ht="15.75" thickBot="1" x14ac:dyDescent="0.3">
      <c r="A237" s="34" t="s">
        <v>12</v>
      </c>
      <c r="B237" s="34" t="s">
        <v>46</v>
      </c>
      <c r="C237" s="72">
        <v>-53620.7</v>
      </c>
      <c r="D237" s="72">
        <v>574910</v>
      </c>
      <c r="E237" s="72">
        <v>109.33</v>
      </c>
      <c r="F237" s="72">
        <v>-9.33</v>
      </c>
      <c r="G237" s="72">
        <v>628530.69999999995</v>
      </c>
      <c r="H237" s="72">
        <v>200000.31033120491</v>
      </c>
      <c r="I237" s="106">
        <f>I229+I235</f>
        <v>2639170.3943312056</v>
      </c>
      <c r="J237" s="106">
        <f>J229+J235</f>
        <v>2362759.1569250012</v>
      </c>
      <c r="K237" s="106">
        <f>K229+K235</f>
        <v>3078449.1469950005</v>
      </c>
      <c r="N237" s="40">
        <f t="shared" si="6"/>
        <v>1</v>
      </c>
    </row>
    <row r="238" spans="1:14" ht="15.75" thickTop="1" x14ac:dyDescent="0.25">
      <c r="A238" s="32" t="s">
        <v>12</v>
      </c>
      <c r="B238" s="32" t="s">
        <v>12</v>
      </c>
      <c r="N238" s="40">
        <f t="shared" si="6"/>
        <v>0</v>
      </c>
    </row>
    <row r="239" spans="1:14" x14ac:dyDescent="0.25">
      <c r="A239" s="32" t="s">
        <v>401</v>
      </c>
      <c r="B239" s="32" t="s">
        <v>402</v>
      </c>
      <c r="J239" s="89">
        <f>I239*DATAARK!$B$3</f>
        <v>0</v>
      </c>
      <c r="K239" s="89">
        <f>J239*DATAARK!$C$3</f>
        <v>0</v>
      </c>
      <c r="N239" s="40">
        <f t="shared" si="6"/>
        <v>0</v>
      </c>
    </row>
    <row r="240" spans="1:14" x14ac:dyDescent="0.25">
      <c r="A240" s="32" t="s">
        <v>403</v>
      </c>
      <c r="B240" s="32" t="s">
        <v>404</v>
      </c>
      <c r="J240" s="89">
        <f>I240*DATAARK!$B$3</f>
        <v>0</v>
      </c>
      <c r="K240" s="89">
        <f>J240*DATAARK!$C$3</f>
        <v>0</v>
      </c>
      <c r="N240" s="40">
        <f t="shared" si="6"/>
        <v>0</v>
      </c>
    </row>
    <row r="241" spans="1:14" x14ac:dyDescent="0.25">
      <c r="A241" s="32" t="s">
        <v>405</v>
      </c>
      <c r="B241" s="32" t="s">
        <v>406</v>
      </c>
      <c r="C241" s="70">
        <v>-206904.92</v>
      </c>
      <c r="D241" s="70">
        <v>-502945</v>
      </c>
      <c r="E241" s="70">
        <v>58.86</v>
      </c>
      <c r="F241" s="70">
        <v>41.14</v>
      </c>
      <c r="G241" s="70">
        <v>-296040.08</v>
      </c>
      <c r="H241" s="70">
        <v>-380594.32</v>
      </c>
      <c r="I241" s="103">
        <v>-341818.28</v>
      </c>
      <c r="J241" s="89">
        <f>-341818.28-50000</f>
        <v>-391818.28</v>
      </c>
      <c r="K241" s="89">
        <f>J241*DATAARK!$C$3</f>
        <v>-391818.28</v>
      </c>
      <c r="N241" s="40">
        <f t="shared" si="6"/>
        <v>0</v>
      </c>
    </row>
    <row r="242" spans="1:14" x14ac:dyDescent="0.25">
      <c r="A242" s="32" t="s">
        <v>407</v>
      </c>
      <c r="B242" s="32" t="s">
        <v>408</v>
      </c>
      <c r="J242" s="89">
        <f>I242*DATAARK!$B$3</f>
        <v>0</v>
      </c>
      <c r="K242" s="89">
        <f>J242*DATAARK!$C$3</f>
        <v>0</v>
      </c>
      <c r="N242" s="40">
        <f t="shared" si="6"/>
        <v>0</v>
      </c>
    </row>
    <row r="243" spans="1:14" x14ac:dyDescent="0.25">
      <c r="A243" s="33" t="s">
        <v>409</v>
      </c>
      <c r="B243" s="33" t="s">
        <v>410</v>
      </c>
      <c r="C243" s="71">
        <v>-206904.92</v>
      </c>
      <c r="D243" s="71">
        <v>-502945</v>
      </c>
      <c r="E243" s="71">
        <v>58.86</v>
      </c>
      <c r="F243" s="71">
        <v>41.14</v>
      </c>
      <c r="G243" s="71">
        <v>-296040.08</v>
      </c>
      <c r="H243" s="71">
        <v>-380594.32</v>
      </c>
      <c r="I243" s="90">
        <f>SUM(I239:I242)</f>
        <v>-341818.28</v>
      </c>
      <c r="J243" s="90">
        <f>SUM(J239:J242)</f>
        <v>-391818.28</v>
      </c>
      <c r="K243" s="90">
        <f>SUM(K239:K242)</f>
        <v>-391818.28</v>
      </c>
      <c r="L243" s="89"/>
      <c r="N243" s="40">
        <f t="shared" si="6"/>
        <v>0</v>
      </c>
    </row>
    <row r="244" spans="1:14" x14ac:dyDescent="0.25">
      <c r="A244" s="32" t="s">
        <v>12</v>
      </c>
      <c r="B244" s="32" t="s">
        <v>12</v>
      </c>
      <c r="N244" s="40">
        <f t="shared" si="6"/>
        <v>0</v>
      </c>
    </row>
    <row r="245" spans="1:14" ht="15.75" thickBot="1" x14ac:dyDescent="0.3">
      <c r="A245" s="34" t="s">
        <v>411</v>
      </c>
      <c r="B245" s="34" t="s">
        <v>49</v>
      </c>
      <c r="C245" s="72">
        <v>-260525.62</v>
      </c>
      <c r="D245" s="72">
        <v>71965</v>
      </c>
      <c r="E245" s="72">
        <v>462.02</v>
      </c>
      <c r="F245" s="72">
        <v>-362.02</v>
      </c>
      <c r="G245" s="72">
        <v>332490.62</v>
      </c>
      <c r="H245" s="72">
        <v>-180594.0096687951</v>
      </c>
      <c r="I245" s="106">
        <f>+I237+I243</f>
        <v>2297352.1143312054</v>
      </c>
      <c r="J245" s="130">
        <f>J237+J243</f>
        <v>1970940.8769250012</v>
      </c>
      <c r="K245" s="130">
        <f>K237+K243</f>
        <v>2686630.8669950003</v>
      </c>
      <c r="N245" s="40">
        <f t="shared" si="6"/>
        <v>1</v>
      </c>
    </row>
    <row r="246" spans="1:14" ht="15.75" thickTop="1" x14ac:dyDescent="0.25"/>
    <row r="253" spans="1:14" x14ac:dyDescent="0.25">
      <c r="I253" s="103" t="s">
        <v>493</v>
      </c>
      <c r="J253" s="89">
        <f>150000/5</f>
        <v>30000</v>
      </c>
    </row>
    <row r="254" spans="1:14" x14ac:dyDescent="0.25">
      <c r="I254" s="103" t="s">
        <v>494</v>
      </c>
      <c r="J254" s="89">
        <f>100000/5</f>
        <v>20000</v>
      </c>
    </row>
    <row r="255" spans="1:14" x14ac:dyDescent="0.25">
      <c r="J255" s="89">
        <f>J253+J254</f>
        <v>50000</v>
      </c>
    </row>
  </sheetData>
  <conditionalFormatting sqref="N1:N1048576">
    <cfRule type="cellIs" dxfId="191" priority="48" operator="equal">
      <formula>1</formula>
    </cfRule>
  </conditionalFormatting>
  <conditionalFormatting sqref="N130:N136">
    <cfRule type="cellIs" dxfId="190" priority="47" operator="equal">
      <formula>2</formula>
    </cfRule>
  </conditionalFormatting>
  <conditionalFormatting sqref="N121">
    <cfRule type="cellIs" dxfId="189" priority="46" operator="equal">
      <formula>2</formula>
    </cfRule>
  </conditionalFormatting>
  <conditionalFormatting sqref="N120">
    <cfRule type="cellIs" dxfId="188" priority="45" operator="equal">
      <formula>2</formula>
    </cfRule>
  </conditionalFormatting>
  <conditionalFormatting sqref="N119">
    <cfRule type="cellIs" dxfId="187" priority="44" operator="equal">
      <formula>2</formula>
    </cfRule>
  </conditionalFormatting>
  <conditionalFormatting sqref="N118">
    <cfRule type="cellIs" dxfId="186" priority="43" operator="equal">
      <formula>2</formula>
    </cfRule>
  </conditionalFormatting>
  <conditionalFormatting sqref="N117">
    <cfRule type="cellIs" dxfId="185" priority="42" operator="equal">
      <formula>2</formula>
    </cfRule>
  </conditionalFormatting>
  <conditionalFormatting sqref="N116">
    <cfRule type="cellIs" dxfId="184" priority="41" operator="equal">
      <formula>2</formula>
    </cfRule>
  </conditionalFormatting>
  <conditionalFormatting sqref="N115">
    <cfRule type="cellIs" dxfId="183" priority="40" operator="equal">
      <formula>2</formula>
    </cfRule>
  </conditionalFormatting>
  <conditionalFormatting sqref="N116">
    <cfRule type="cellIs" dxfId="182" priority="39" operator="equal">
      <formula>2</formula>
    </cfRule>
  </conditionalFormatting>
  <conditionalFormatting sqref="N117">
    <cfRule type="cellIs" dxfId="181" priority="38" operator="equal">
      <formula>2</formula>
    </cfRule>
  </conditionalFormatting>
  <conditionalFormatting sqref="N118">
    <cfRule type="cellIs" dxfId="180" priority="37" operator="equal">
      <formula>2</formula>
    </cfRule>
  </conditionalFormatting>
  <conditionalFormatting sqref="N119">
    <cfRule type="cellIs" dxfId="179" priority="36" operator="equal">
      <formula>2</formula>
    </cfRule>
  </conditionalFormatting>
  <conditionalFormatting sqref="N120">
    <cfRule type="cellIs" dxfId="178" priority="35" operator="equal">
      <formula>2</formula>
    </cfRule>
  </conditionalFormatting>
  <conditionalFormatting sqref="N121">
    <cfRule type="cellIs" dxfId="177" priority="34" operator="equal">
      <formula>2</formula>
    </cfRule>
  </conditionalFormatting>
  <conditionalFormatting sqref="N116">
    <cfRule type="cellIs" dxfId="176" priority="33" operator="equal">
      <formula>2</formula>
    </cfRule>
  </conditionalFormatting>
  <conditionalFormatting sqref="N117">
    <cfRule type="cellIs" dxfId="175" priority="32" operator="equal">
      <formula>2</formula>
    </cfRule>
  </conditionalFormatting>
  <conditionalFormatting sqref="N118">
    <cfRule type="cellIs" dxfId="174" priority="31" operator="equal">
      <formula>2</formula>
    </cfRule>
  </conditionalFormatting>
  <conditionalFormatting sqref="N119">
    <cfRule type="cellIs" dxfId="173" priority="30" operator="equal">
      <formula>2</formula>
    </cfRule>
  </conditionalFormatting>
  <conditionalFormatting sqref="N120">
    <cfRule type="cellIs" dxfId="172" priority="29" operator="equal">
      <formula>2</formula>
    </cfRule>
  </conditionalFormatting>
  <conditionalFormatting sqref="N121">
    <cfRule type="cellIs" dxfId="171" priority="28" operator="equal">
      <formula>2</formula>
    </cfRule>
  </conditionalFormatting>
  <conditionalFormatting sqref="N130">
    <cfRule type="cellIs" dxfId="170" priority="27" operator="equal">
      <formula>2</formula>
    </cfRule>
  </conditionalFormatting>
  <conditionalFormatting sqref="N131">
    <cfRule type="cellIs" dxfId="169" priority="26" operator="equal">
      <formula>2</formula>
    </cfRule>
  </conditionalFormatting>
  <conditionalFormatting sqref="N132">
    <cfRule type="cellIs" dxfId="168" priority="25" operator="equal">
      <formula>2</formula>
    </cfRule>
  </conditionalFormatting>
  <conditionalFormatting sqref="N133">
    <cfRule type="cellIs" dxfId="167" priority="24" operator="equal">
      <formula>2</formula>
    </cfRule>
  </conditionalFormatting>
  <conditionalFormatting sqref="N134">
    <cfRule type="cellIs" dxfId="166" priority="23" operator="equal">
      <formula>2</formula>
    </cfRule>
  </conditionalFormatting>
  <conditionalFormatting sqref="N135">
    <cfRule type="cellIs" dxfId="165" priority="22" operator="equal">
      <formula>2</formula>
    </cfRule>
  </conditionalFormatting>
  <conditionalFormatting sqref="N136">
    <cfRule type="cellIs" dxfId="164" priority="21" operator="equal">
      <formula>2</formula>
    </cfRule>
  </conditionalFormatting>
  <conditionalFormatting sqref="N59">
    <cfRule type="cellIs" dxfId="163" priority="20" operator="equal">
      <formula>2</formula>
    </cfRule>
  </conditionalFormatting>
  <conditionalFormatting sqref="N58">
    <cfRule type="cellIs" dxfId="162" priority="19" operator="equal">
      <formula>2</formula>
    </cfRule>
  </conditionalFormatting>
  <conditionalFormatting sqref="N57">
    <cfRule type="cellIs" dxfId="161" priority="18" operator="equal">
      <formula>2</formula>
    </cfRule>
  </conditionalFormatting>
  <conditionalFormatting sqref="N56">
    <cfRule type="cellIs" dxfId="160" priority="17" operator="equal">
      <formula>2</formula>
    </cfRule>
  </conditionalFormatting>
  <conditionalFormatting sqref="N55">
    <cfRule type="cellIs" dxfId="159" priority="16" operator="equal">
      <formula>2</formula>
    </cfRule>
  </conditionalFormatting>
  <conditionalFormatting sqref="N54">
    <cfRule type="cellIs" dxfId="158" priority="15" operator="equal">
      <formula>2</formula>
    </cfRule>
  </conditionalFormatting>
  <conditionalFormatting sqref="N53">
    <cfRule type="cellIs" dxfId="157" priority="14" operator="equal">
      <formula>2</formula>
    </cfRule>
  </conditionalFormatting>
  <conditionalFormatting sqref="N52">
    <cfRule type="cellIs" dxfId="156" priority="13" operator="equal">
      <formula>2</formula>
    </cfRule>
  </conditionalFormatting>
  <conditionalFormatting sqref="N51">
    <cfRule type="cellIs" dxfId="155" priority="12" operator="equal">
      <formula>2</formula>
    </cfRule>
  </conditionalFormatting>
  <conditionalFormatting sqref="N50">
    <cfRule type="cellIs" dxfId="154" priority="11" operator="equal">
      <formula>2</formula>
    </cfRule>
  </conditionalFormatting>
  <conditionalFormatting sqref="N49">
    <cfRule type="cellIs" dxfId="153" priority="10" operator="equal">
      <formula>2</formula>
    </cfRule>
  </conditionalFormatting>
  <conditionalFormatting sqref="N48">
    <cfRule type="cellIs" dxfId="152" priority="9" operator="equal">
      <formula>2</formula>
    </cfRule>
  </conditionalFormatting>
  <conditionalFormatting sqref="N44">
    <cfRule type="cellIs" dxfId="151" priority="8" operator="equal">
      <formula>2</formula>
    </cfRule>
  </conditionalFormatting>
  <conditionalFormatting sqref="N45">
    <cfRule type="cellIs" dxfId="150" priority="7" operator="equal">
      <formula>2</formula>
    </cfRule>
  </conditionalFormatting>
  <conditionalFormatting sqref="N40">
    <cfRule type="cellIs" dxfId="149" priority="6" operator="equal">
      <formula>2</formula>
    </cfRule>
  </conditionalFormatting>
  <conditionalFormatting sqref="N41">
    <cfRule type="cellIs" dxfId="148" priority="5" operator="equal">
      <formula>2</formula>
    </cfRule>
  </conditionalFormatting>
  <conditionalFormatting sqref="N42">
    <cfRule type="cellIs" dxfId="147" priority="4" operator="equal">
      <formula>2</formula>
    </cfRule>
  </conditionalFormatting>
  <conditionalFormatting sqref="N43">
    <cfRule type="cellIs" dxfId="146" priority="3" operator="equal">
      <formula>2</formula>
    </cfRule>
  </conditionalFormatting>
  <conditionalFormatting sqref="N44">
    <cfRule type="cellIs" dxfId="145" priority="2" operator="equal">
      <formula>2</formula>
    </cfRule>
  </conditionalFormatting>
  <conditionalFormatting sqref="N62">
    <cfRule type="cellIs" dxfId="144" priority="1" operator="equal">
      <formula>2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255"/>
  <sheetViews>
    <sheetView topLeftCell="A87" workbookViewId="0">
      <selection activeCell="K110" sqref="K110"/>
    </sheetView>
  </sheetViews>
  <sheetFormatPr defaultRowHeight="15" x14ac:dyDescent="0.25"/>
  <cols>
    <col min="1" max="1" width="17.7109375" bestFit="1" customWidth="1"/>
    <col min="2" max="2" width="48.7109375" bestFit="1" customWidth="1"/>
    <col min="3" max="3" width="12.85546875" style="70" bestFit="1" customWidth="1"/>
    <col min="4" max="4" width="13.28515625" style="70" customWidth="1"/>
    <col min="5" max="5" width="10.28515625" style="70" hidden="1" customWidth="1"/>
    <col min="6" max="6" width="19.42578125" style="70" hidden="1" customWidth="1"/>
    <col min="7" max="7" width="12.85546875" style="70" hidden="1" customWidth="1"/>
    <col min="8" max="8" width="13.28515625" style="51" bestFit="1" customWidth="1"/>
    <col min="9" max="9" width="13.28515625" style="103" bestFit="1" customWidth="1"/>
    <col min="10" max="10" width="19.42578125" style="89" bestFit="1" customWidth="1"/>
    <col min="11" max="11" width="18" style="103" bestFit="1" customWidth="1"/>
    <col min="13" max="13" width="11.7109375" bestFit="1" customWidth="1"/>
    <col min="14" max="14" width="9.140625" style="40"/>
  </cols>
  <sheetData>
    <row r="1" spans="1:11" x14ac:dyDescent="0.25">
      <c r="A1" s="26" t="s">
        <v>0</v>
      </c>
      <c r="B1" s="25"/>
      <c r="J1" s="103"/>
    </row>
    <row r="2" spans="1:11" x14ac:dyDescent="0.25">
      <c r="A2" s="27" t="s">
        <v>1</v>
      </c>
      <c r="B2" s="27" t="s">
        <v>2</v>
      </c>
      <c r="J2" s="103"/>
    </row>
    <row r="3" spans="1:11" x14ac:dyDescent="0.25">
      <c r="A3" s="27" t="s">
        <v>3</v>
      </c>
      <c r="B3" s="27" t="s">
        <v>4</v>
      </c>
      <c r="J3" s="103"/>
    </row>
    <row r="4" spans="1:11" x14ac:dyDescent="0.25">
      <c r="A4" s="27" t="s">
        <v>412</v>
      </c>
      <c r="B4" s="27" t="s">
        <v>417</v>
      </c>
      <c r="J4" s="103"/>
    </row>
    <row r="5" spans="1:11" x14ac:dyDescent="0.25">
      <c r="J5" s="103"/>
    </row>
    <row r="6" spans="1:11" x14ac:dyDescent="0.25">
      <c r="A6" s="27" t="s">
        <v>5</v>
      </c>
      <c r="B6" s="27" t="s">
        <v>6</v>
      </c>
      <c r="J6" s="103"/>
    </row>
    <row r="7" spans="1:11" x14ac:dyDescent="0.25">
      <c r="J7" s="103"/>
    </row>
    <row r="8" spans="1:11" ht="30" x14ac:dyDescent="0.25">
      <c r="A8" s="25"/>
      <c r="B8" s="25"/>
      <c r="C8" s="71" t="s">
        <v>7</v>
      </c>
      <c r="D8" s="71" t="s">
        <v>8</v>
      </c>
      <c r="E8" s="71" t="s">
        <v>9</v>
      </c>
      <c r="F8" s="71" t="s">
        <v>10</v>
      </c>
      <c r="G8" s="71" t="s">
        <v>11</v>
      </c>
      <c r="H8" s="68" t="s">
        <v>428</v>
      </c>
      <c r="I8" s="118" t="s">
        <v>486</v>
      </c>
      <c r="J8" s="96" t="s">
        <v>472</v>
      </c>
      <c r="K8" s="96" t="s">
        <v>473</v>
      </c>
    </row>
    <row r="9" spans="1:11" x14ac:dyDescent="0.25">
      <c r="A9" s="28" t="s">
        <v>12</v>
      </c>
      <c r="B9" s="28" t="s">
        <v>13</v>
      </c>
      <c r="C9" s="71" t="s">
        <v>478</v>
      </c>
      <c r="D9" s="71">
        <v>2021</v>
      </c>
      <c r="E9" s="71"/>
      <c r="F9" s="71"/>
      <c r="G9" s="71"/>
      <c r="H9" s="68">
        <v>2021</v>
      </c>
      <c r="I9" s="96">
        <v>2021</v>
      </c>
      <c r="J9" s="95">
        <v>2022</v>
      </c>
      <c r="K9" s="96">
        <v>2023</v>
      </c>
    </row>
    <row r="10" spans="1:11" x14ac:dyDescent="0.25">
      <c r="A10" s="27" t="s">
        <v>12</v>
      </c>
      <c r="B10" s="27" t="s">
        <v>12</v>
      </c>
      <c r="I10" s="119"/>
      <c r="J10" s="119"/>
      <c r="K10" s="119"/>
    </row>
    <row r="11" spans="1:11" x14ac:dyDescent="0.25">
      <c r="A11" s="27" t="s">
        <v>14</v>
      </c>
      <c r="B11" s="27" t="s">
        <v>15</v>
      </c>
      <c r="C11" s="70">
        <v>5421565</v>
      </c>
      <c r="D11" s="70">
        <v>10675874.140000001</v>
      </c>
      <c r="E11" s="70">
        <v>49.22</v>
      </c>
      <c r="F11" s="70">
        <v>50.78</v>
      </c>
      <c r="G11" s="70">
        <v>5254309.1399999997</v>
      </c>
      <c r="H11" s="51">
        <v>9288563.3756021392</v>
      </c>
      <c r="I11" s="119">
        <f>I46</f>
        <v>9288563.3756021392</v>
      </c>
      <c r="J11" s="93">
        <f>J46</f>
        <v>11087133</v>
      </c>
      <c r="K11" s="119">
        <f>K46</f>
        <v>11087133</v>
      </c>
    </row>
    <row r="12" spans="1:11" x14ac:dyDescent="0.25">
      <c r="A12" s="27" t="s">
        <v>16</v>
      </c>
      <c r="B12" s="27" t="s">
        <v>17</v>
      </c>
      <c r="C12" s="70">
        <v>12939.53</v>
      </c>
      <c r="D12" s="70">
        <v>152000</v>
      </c>
      <c r="E12" s="70">
        <v>91.49</v>
      </c>
      <c r="F12" s="70">
        <v>8.51</v>
      </c>
      <c r="G12" s="70">
        <v>139060.47</v>
      </c>
      <c r="H12" s="51">
        <v>164939.53</v>
      </c>
      <c r="I12" s="119">
        <f>I59</f>
        <v>152000</v>
      </c>
      <c r="J12" s="93">
        <f>J59</f>
        <v>152000</v>
      </c>
      <c r="K12" s="119">
        <f>K59</f>
        <v>152000</v>
      </c>
    </row>
    <row r="13" spans="1:11" x14ac:dyDescent="0.25">
      <c r="A13" s="27" t="s">
        <v>18</v>
      </c>
      <c r="B13" s="27" t="s">
        <v>19</v>
      </c>
      <c r="C13" s="70">
        <v>22758.05</v>
      </c>
      <c r="G13" s="70">
        <v>-22758.05</v>
      </c>
      <c r="H13" s="51">
        <v>22758.05</v>
      </c>
      <c r="I13" s="119">
        <f>I63</f>
        <v>22758.05</v>
      </c>
      <c r="J13" s="93">
        <f>J63</f>
        <v>22758.05</v>
      </c>
      <c r="K13" s="119">
        <f>K63</f>
        <v>22758.05</v>
      </c>
    </row>
    <row r="14" spans="1:11" x14ac:dyDescent="0.25">
      <c r="A14" s="28" t="s">
        <v>20</v>
      </c>
      <c r="B14" s="28" t="s">
        <v>21</v>
      </c>
      <c r="C14" s="71">
        <v>5457262.5800000001</v>
      </c>
      <c r="D14" s="71">
        <v>10827874.140000001</v>
      </c>
      <c r="E14" s="71">
        <v>49.6</v>
      </c>
      <c r="F14" s="71">
        <v>50.4</v>
      </c>
      <c r="G14" s="71">
        <v>5370611.5599999996</v>
      </c>
      <c r="H14" s="68">
        <v>9476260.9556021392</v>
      </c>
      <c r="I14" s="96">
        <f>SUM(I11:I13)</f>
        <v>9463321.4256021399</v>
      </c>
      <c r="J14" s="95">
        <f>SUM(J11:J13)</f>
        <v>11261891.050000001</v>
      </c>
      <c r="K14" s="96">
        <f>SUM(K11:K13)</f>
        <v>11261891.050000001</v>
      </c>
    </row>
    <row r="15" spans="1:11" x14ac:dyDescent="0.25">
      <c r="A15" s="27" t="s">
        <v>12</v>
      </c>
      <c r="B15" s="27" t="s">
        <v>12</v>
      </c>
      <c r="I15" s="119"/>
      <c r="J15" s="119"/>
      <c r="K15" s="119"/>
    </row>
    <row r="16" spans="1:11" x14ac:dyDescent="0.25">
      <c r="A16" s="28" t="s">
        <v>12</v>
      </c>
      <c r="B16" s="28" t="s">
        <v>22</v>
      </c>
      <c r="C16" s="71"/>
      <c r="D16" s="71"/>
      <c r="E16" s="71"/>
      <c r="F16" s="71"/>
      <c r="G16" s="71"/>
      <c r="H16" s="68"/>
      <c r="I16" s="96"/>
      <c r="J16" s="95"/>
      <c r="K16" s="96"/>
    </row>
    <row r="17" spans="1:11" x14ac:dyDescent="0.25">
      <c r="A17" s="27" t="s">
        <v>23</v>
      </c>
      <c r="B17" s="27" t="s">
        <v>24</v>
      </c>
      <c r="I17" s="119"/>
      <c r="J17" s="93"/>
      <c r="K17" s="119"/>
    </row>
    <row r="18" spans="1:11" x14ac:dyDescent="0.25">
      <c r="A18" s="27" t="s">
        <v>25</v>
      </c>
      <c r="B18" s="27" t="s">
        <v>26</v>
      </c>
      <c r="C18" s="70">
        <v>-90553.25</v>
      </c>
      <c r="D18" s="70">
        <v>-145000</v>
      </c>
      <c r="E18" s="70">
        <v>37.549999999999997</v>
      </c>
      <c r="F18" s="70">
        <v>62.45</v>
      </c>
      <c r="G18" s="70">
        <v>-54446.75</v>
      </c>
      <c r="H18" s="51">
        <v>-166854.25</v>
      </c>
      <c r="I18" s="119">
        <f>I77</f>
        <v>-166854.25</v>
      </c>
      <c r="J18" s="93">
        <f>J77</f>
        <v>-166854.25</v>
      </c>
      <c r="K18" s="119">
        <f>K77</f>
        <v>-166854.25</v>
      </c>
    </row>
    <row r="19" spans="1:11" x14ac:dyDescent="0.25">
      <c r="A19" s="27" t="s">
        <v>27</v>
      </c>
      <c r="B19" s="27" t="s">
        <v>28</v>
      </c>
      <c r="I19" s="119"/>
      <c r="J19" s="93"/>
      <c r="K19" s="119"/>
    </row>
    <row r="20" spans="1:11" x14ac:dyDescent="0.25">
      <c r="A20" s="27" t="s">
        <v>12</v>
      </c>
      <c r="B20" s="27" t="s">
        <v>12</v>
      </c>
      <c r="I20" s="119"/>
      <c r="J20" s="93"/>
      <c r="K20" s="119"/>
    </row>
    <row r="21" spans="1:11" x14ac:dyDescent="0.25">
      <c r="A21" s="27" t="s">
        <v>29</v>
      </c>
      <c r="B21" s="27" t="s">
        <v>30</v>
      </c>
      <c r="C21" s="70">
        <v>-3568305.73</v>
      </c>
      <c r="D21" s="70">
        <v>-8242345.0199999996</v>
      </c>
      <c r="E21" s="70">
        <v>56.71</v>
      </c>
      <c r="F21" s="70">
        <v>43.29</v>
      </c>
      <c r="G21" s="70">
        <v>-4674039.29</v>
      </c>
      <c r="H21" s="51">
        <v>-6986596</v>
      </c>
      <c r="I21" s="119">
        <f>I123</f>
        <v>-7101964.2399999993</v>
      </c>
      <c r="J21" s="93">
        <f>J123</f>
        <v>-7101964.2399999993</v>
      </c>
      <c r="K21" s="119">
        <f>K123</f>
        <v>-7101964.2399999993</v>
      </c>
    </row>
    <row r="22" spans="1:11" x14ac:dyDescent="0.25">
      <c r="A22" s="28" t="s">
        <v>31</v>
      </c>
      <c r="B22" s="28" t="s">
        <v>32</v>
      </c>
      <c r="C22" s="71">
        <v>-3658858.98</v>
      </c>
      <c r="D22" s="71">
        <v>-8387345.0199999996</v>
      </c>
      <c r="E22" s="71">
        <v>56.38</v>
      </c>
      <c r="F22" s="71">
        <v>43.62</v>
      </c>
      <c r="G22" s="71">
        <v>-4728486.04</v>
      </c>
      <c r="H22" s="68">
        <v>-6986596</v>
      </c>
      <c r="I22" s="96">
        <f>I21</f>
        <v>-7101964.2399999993</v>
      </c>
      <c r="J22" s="95">
        <f>J21</f>
        <v>-7101964.2399999993</v>
      </c>
      <c r="K22" s="96">
        <f>K21</f>
        <v>-7101964.2399999993</v>
      </c>
    </row>
    <row r="23" spans="1:11" x14ac:dyDescent="0.25">
      <c r="A23" s="27" t="s">
        <v>12</v>
      </c>
      <c r="B23" s="27" t="s">
        <v>12</v>
      </c>
      <c r="I23" s="119"/>
      <c r="J23" s="93"/>
      <c r="K23" s="119"/>
    </row>
    <row r="24" spans="1:11" x14ac:dyDescent="0.25">
      <c r="A24" s="27" t="s">
        <v>33</v>
      </c>
      <c r="B24" s="27" t="s">
        <v>34</v>
      </c>
      <c r="C24" s="70">
        <v>10983.84</v>
      </c>
      <c r="D24" s="70">
        <v>50000</v>
      </c>
      <c r="E24" s="70">
        <v>78.03</v>
      </c>
      <c r="F24" s="70">
        <v>21.97</v>
      </c>
      <c r="G24" s="70">
        <v>39016.160000000003</v>
      </c>
      <c r="H24" s="51">
        <v>56748.84</v>
      </c>
      <c r="I24" s="119">
        <f>I136</f>
        <v>50000</v>
      </c>
      <c r="J24" s="93">
        <f>J136</f>
        <v>50000</v>
      </c>
      <c r="K24" s="119">
        <f>K136</f>
        <v>50000</v>
      </c>
    </row>
    <row r="25" spans="1:11" x14ac:dyDescent="0.25">
      <c r="A25" s="27" t="s">
        <v>35</v>
      </c>
      <c r="B25" s="27" t="s">
        <v>36</v>
      </c>
      <c r="C25" s="70">
        <v>-1000312</v>
      </c>
      <c r="D25" s="70">
        <v>-3348833.53</v>
      </c>
      <c r="E25" s="70">
        <v>70.13</v>
      </c>
      <c r="F25" s="70">
        <v>29.87</v>
      </c>
      <c r="G25" s="70">
        <v>-2348521.5299999998</v>
      </c>
      <c r="H25" s="51">
        <v>-3278894.1409999994</v>
      </c>
      <c r="I25" s="119">
        <f>I198</f>
        <v>-2526284.7960000001</v>
      </c>
      <c r="J25" s="93">
        <f>J198</f>
        <v>-3684759.7118450003</v>
      </c>
      <c r="K25" s="119">
        <f>K198</f>
        <v>-2778709.3506029998</v>
      </c>
    </row>
    <row r="26" spans="1:11" x14ac:dyDescent="0.25">
      <c r="A26" s="27" t="s">
        <v>37</v>
      </c>
      <c r="B26" s="27" t="s">
        <v>38</v>
      </c>
      <c r="H26" s="51">
        <v>0</v>
      </c>
      <c r="I26" s="119">
        <f>I209</f>
        <v>0</v>
      </c>
      <c r="J26" s="93">
        <f>J209</f>
        <v>0</v>
      </c>
      <c r="K26" s="119">
        <f>K209</f>
        <v>0</v>
      </c>
    </row>
    <row r="27" spans="1:11" x14ac:dyDescent="0.25">
      <c r="A27" s="27" t="s">
        <v>39</v>
      </c>
      <c r="B27" s="27" t="s">
        <v>40</v>
      </c>
      <c r="C27" s="70">
        <v>-313.33</v>
      </c>
      <c r="G27" s="70">
        <v>313.33</v>
      </c>
      <c r="H27" s="51">
        <v>-313.33</v>
      </c>
      <c r="I27" s="119">
        <f>I219</f>
        <v>0</v>
      </c>
      <c r="J27" s="93">
        <f>J219</f>
        <v>0</v>
      </c>
      <c r="K27" s="119">
        <f>K219</f>
        <v>0</v>
      </c>
    </row>
    <row r="28" spans="1:11" x14ac:dyDescent="0.25">
      <c r="A28" s="27" t="s">
        <v>41</v>
      </c>
      <c r="B28" s="27" t="s">
        <v>42</v>
      </c>
      <c r="H28" s="51">
        <v>0</v>
      </c>
      <c r="I28" s="119">
        <f>I223</f>
        <v>0</v>
      </c>
      <c r="J28" s="93">
        <f>J223</f>
        <v>0</v>
      </c>
      <c r="K28" s="119">
        <f>K223</f>
        <v>0</v>
      </c>
    </row>
    <row r="29" spans="1:11" x14ac:dyDescent="0.25">
      <c r="A29" s="27" t="s">
        <v>43</v>
      </c>
      <c r="B29" s="27" t="s">
        <v>44</v>
      </c>
      <c r="H29" s="51">
        <v>0</v>
      </c>
      <c r="I29" s="119">
        <f>I227</f>
        <v>0</v>
      </c>
      <c r="J29" s="93">
        <f>J227</f>
        <v>0</v>
      </c>
      <c r="K29" s="119">
        <f>K227</f>
        <v>0</v>
      </c>
    </row>
    <row r="30" spans="1:11" x14ac:dyDescent="0.25">
      <c r="A30" s="27" t="s">
        <v>12</v>
      </c>
      <c r="B30" s="27" t="s">
        <v>12</v>
      </c>
      <c r="I30" s="119"/>
      <c r="J30" s="93"/>
      <c r="K30" s="119"/>
    </row>
    <row r="31" spans="1:11" ht="15.75" thickBot="1" x14ac:dyDescent="0.3">
      <c r="A31" s="29" t="s">
        <v>45</v>
      </c>
      <c r="B31" s="29" t="s">
        <v>46</v>
      </c>
      <c r="C31" s="72">
        <v>808762.11</v>
      </c>
      <c r="D31" s="72">
        <v>-858304.41</v>
      </c>
      <c r="E31" s="72">
        <v>194.23</v>
      </c>
      <c r="F31" s="72">
        <v>-94.23</v>
      </c>
      <c r="G31" s="72">
        <v>-1667066.52</v>
      </c>
      <c r="H31" s="69">
        <v>-899647.92539786024</v>
      </c>
      <c r="I31" s="122">
        <f>I14+I18+I22+I24+I25+I26+I27</f>
        <v>-281781.86039785948</v>
      </c>
      <c r="J31" s="101">
        <f>J14+J18+J22+J24+J25+J26+J27</f>
        <v>358312.84815500118</v>
      </c>
      <c r="K31" s="122">
        <f>K14+K18+K22+K24+K25+K26+K27</f>
        <v>1264363.2093970017</v>
      </c>
    </row>
    <row r="32" spans="1:11" ht="15.75" thickTop="1" x14ac:dyDescent="0.25">
      <c r="A32" s="27" t="s">
        <v>12</v>
      </c>
      <c r="B32" s="27" t="s">
        <v>12</v>
      </c>
      <c r="I32" s="119"/>
      <c r="J32" s="93"/>
      <c r="K32" s="119"/>
    </row>
    <row r="33" spans="1:14" x14ac:dyDescent="0.25">
      <c r="A33" s="27" t="s">
        <v>47</v>
      </c>
      <c r="B33" s="27" t="s">
        <v>48</v>
      </c>
      <c r="C33" s="70">
        <v>-71340.66</v>
      </c>
      <c r="D33" s="70">
        <v>-142681.19</v>
      </c>
      <c r="E33" s="70">
        <v>50</v>
      </c>
      <c r="F33" s="70">
        <v>50</v>
      </c>
      <c r="G33" s="70">
        <v>-71340.53</v>
      </c>
      <c r="H33" s="51">
        <v>-142681.26999999999</v>
      </c>
      <c r="I33" s="119">
        <f>I243</f>
        <v>-142681.26999999999</v>
      </c>
      <c r="J33" s="93">
        <f>J243</f>
        <v>-282706.99</v>
      </c>
      <c r="K33" s="119">
        <f>K243</f>
        <v>-282706.99</v>
      </c>
    </row>
    <row r="34" spans="1:14" x14ac:dyDescent="0.25">
      <c r="A34" s="27" t="s">
        <v>12</v>
      </c>
      <c r="B34" s="27" t="s">
        <v>12</v>
      </c>
      <c r="I34" s="119"/>
      <c r="J34" s="93"/>
      <c r="K34" s="119"/>
    </row>
    <row r="35" spans="1:14" ht="15.75" thickBot="1" x14ac:dyDescent="0.3">
      <c r="A35" s="29" t="s">
        <v>12</v>
      </c>
      <c r="B35" s="29" t="s">
        <v>49</v>
      </c>
      <c r="C35" s="72">
        <v>737421.45</v>
      </c>
      <c r="D35" s="72">
        <v>-1000985.6</v>
      </c>
      <c r="E35" s="72">
        <v>173.67</v>
      </c>
      <c r="F35" s="72">
        <v>-73.67</v>
      </c>
      <c r="G35" s="72">
        <v>-1738407.05</v>
      </c>
      <c r="H35" s="69">
        <v>-1042329.1953978603</v>
      </c>
      <c r="I35" s="122">
        <f>I31+I33</f>
        <v>-424463.1303978595</v>
      </c>
      <c r="J35" s="101">
        <f>J31+J33</f>
        <v>75605.858155001188</v>
      </c>
      <c r="K35" s="122">
        <f>K31+K33</f>
        <v>981656.21939700167</v>
      </c>
    </row>
    <row r="36" spans="1:14" ht="15.75" thickTop="1" x14ac:dyDescent="0.25">
      <c r="A36" s="27" t="s">
        <v>12</v>
      </c>
      <c r="B36" s="27" t="s">
        <v>12</v>
      </c>
    </row>
    <row r="37" spans="1:14" x14ac:dyDescent="0.25">
      <c r="A37" s="28" t="s">
        <v>12</v>
      </c>
      <c r="B37" s="28" t="s">
        <v>50</v>
      </c>
      <c r="C37" s="71"/>
      <c r="D37" s="71"/>
      <c r="E37" s="71"/>
      <c r="F37" s="71"/>
      <c r="G37" s="71"/>
      <c r="H37" s="68"/>
      <c r="I37" s="90"/>
      <c r="J37" s="127"/>
      <c r="K37" s="90"/>
    </row>
    <row r="38" spans="1:14" x14ac:dyDescent="0.25">
      <c r="A38" s="27" t="s">
        <v>12</v>
      </c>
      <c r="B38" s="27" t="s">
        <v>12</v>
      </c>
    </row>
    <row r="39" spans="1:14" x14ac:dyDescent="0.25">
      <c r="A39" s="28" t="s">
        <v>51</v>
      </c>
      <c r="B39" s="28" t="s">
        <v>52</v>
      </c>
      <c r="C39" s="71"/>
      <c r="D39" s="71"/>
      <c r="E39" s="71"/>
      <c r="F39" s="71"/>
      <c r="G39" s="71"/>
      <c r="H39" s="68"/>
      <c r="I39" s="90"/>
      <c r="J39" s="127"/>
      <c r="K39" s="90"/>
    </row>
    <row r="40" spans="1:14" x14ac:dyDescent="0.25">
      <c r="A40" s="27" t="s">
        <v>53</v>
      </c>
      <c r="B40" s="27" t="s">
        <v>54</v>
      </c>
      <c r="C40" s="70">
        <v>4329773.8600000003</v>
      </c>
      <c r="D40" s="70">
        <v>8270231.8700000001</v>
      </c>
      <c r="E40" s="70">
        <v>47.65</v>
      </c>
      <c r="F40" s="70">
        <v>52.35</v>
      </c>
      <c r="G40" s="70">
        <v>3940458.01</v>
      </c>
      <c r="H40" s="51">
        <v>7175731.8085893895</v>
      </c>
      <c r="I40" s="103">
        <f>DATAARK!F29</f>
        <v>7175731.8085893895</v>
      </c>
      <c r="J40" s="128">
        <f>DATAARK!E8</f>
        <v>8778409</v>
      </c>
      <c r="K40" s="128">
        <f>DATAARK!E9</f>
        <v>8778409</v>
      </c>
      <c r="M40" s="124"/>
      <c r="N40" s="40">
        <f t="shared" ref="N40:N45" si="0">IF(J40&gt;0,0,2)</f>
        <v>0</v>
      </c>
    </row>
    <row r="41" spans="1:14" x14ac:dyDescent="0.25">
      <c r="A41" s="27" t="s">
        <v>55</v>
      </c>
      <c r="B41" s="27" t="s">
        <v>56</v>
      </c>
      <c r="C41" s="70">
        <v>9089.2900000000009</v>
      </c>
      <c r="D41" s="70">
        <v>540940</v>
      </c>
      <c r="E41" s="70">
        <v>98.32</v>
      </c>
      <c r="F41" s="70">
        <v>1.68</v>
      </c>
      <c r="G41" s="70">
        <v>531850.71</v>
      </c>
      <c r="H41" s="51">
        <v>166956.86701275015</v>
      </c>
      <c r="I41" s="103">
        <f>DATAARK!F43</f>
        <v>166956.86701275015</v>
      </c>
      <c r="J41" s="128">
        <f>DATAARK!E14</f>
        <v>547304</v>
      </c>
      <c r="K41" s="128">
        <f>DATAARK!E15</f>
        <v>547304</v>
      </c>
      <c r="N41" s="40">
        <f t="shared" si="0"/>
        <v>0</v>
      </c>
    </row>
    <row r="42" spans="1:14" x14ac:dyDescent="0.25">
      <c r="A42" s="27" t="s">
        <v>57</v>
      </c>
      <c r="B42" s="27" t="s">
        <v>58</v>
      </c>
      <c r="C42" s="70">
        <v>16097.75</v>
      </c>
      <c r="G42" s="70">
        <v>-16097.75</v>
      </c>
      <c r="N42" s="40">
        <f t="shared" si="0"/>
        <v>2</v>
      </c>
    </row>
    <row r="43" spans="1:14" x14ac:dyDescent="0.25">
      <c r="A43" s="27" t="s">
        <v>59</v>
      </c>
      <c r="B43" s="27" t="s">
        <v>60</v>
      </c>
      <c r="C43" s="70">
        <v>1439.4</v>
      </c>
      <c r="D43" s="70">
        <v>12462.27</v>
      </c>
      <c r="E43" s="70">
        <v>88.45</v>
      </c>
      <c r="F43" s="70">
        <v>11.55</v>
      </c>
      <c r="G43" s="70">
        <v>11022.87</v>
      </c>
      <c r="N43" s="40">
        <f t="shared" si="0"/>
        <v>2</v>
      </c>
    </row>
    <row r="44" spans="1:14" x14ac:dyDescent="0.25">
      <c r="A44" s="27" t="s">
        <v>61</v>
      </c>
      <c r="B44" s="27" t="s">
        <v>62</v>
      </c>
      <c r="C44" s="70">
        <v>880710</v>
      </c>
      <c r="D44" s="70">
        <v>1761420</v>
      </c>
      <c r="E44" s="70">
        <v>50</v>
      </c>
      <c r="F44" s="70">
        <v>50</v>
      </c>
      <c r="G44" s="70">
        <v>880710</v>
      </c>
      <c r="H44" s="51">
        <v>1761420</v>
      </c>
      <c r="I44" s="103">
        <v>1761420</v>
      </c>
      <c r="J44" s="129">
        <f>DATAARK!E10</f>
        <v>1761420</v>
      </c>
      <c r="K44" s="109">
        <f>DATAARK!E11</f>
        <v>1761420</v>
      </c>
      <c r="N44" s="40">
        <f t="shared" si="0"/>
        <v>0</v>
      </c>
    </row>
    <row r="45" spans="1:14" x14ac:dyDescent="0.25">
      <c r="A45" s="27" t="s">
        <v>63</v>
      </c>
      <c r="B45" s="27" t="s">
        <v>64</v>
      </c>
      <c r="C45" s="70">
        <v>184454.7</v>
      </c>
      <c r="D45" s="70">
        <v>90820</v>
      </c>
      <c r="E45" s="70">
        <v>-103.1</v>
      </c>
      <c r="F45" s="70">
        <v>203.1</v>
      </c>
      <c r="G45" s="70">
        <v>-93634.7</v>
      </c>
      <c r="H45" s="51">
        <v>184454.7</v>
      </c>
      <c r="I45" s="103">
        <f>C45</f>
        <v>184454.7</v>
      </c>
      <c r="J45" s="129">
        <f>DATAARK!E12</f>
        <v>0</v>
      </c>
      <c r="K45" s="109">
        <f>DATAARK!E13</f>
        <v>0</v>
      </c>
      <c r="N45" s="40">
        <f t="shared" si="0"/>
        <v>2</v>
      </c>
    </row>
    <row r="46" spans="1:14" x14ac:dyDescent="0.25">
      <c r="A46" s="28" t="s">
        <v>65</v>
      </c>
      <c r="B46" s="28" t="s">
        <v>66</v>
      </c>
      <c r="C46" s="71">
        <v>5421565</v>
      </c>
      <c r="D46" s="71">
        <v>10675874.140000001</v>
      </c>
      <c r="E46" s="71">
        <v>49.22</v>
      </c>
      <c r="F46" s="71">
        <v>50.78</v>
      </c>
      <c r="G46" s="71">
        <v>5254309.1399999997</v>
      </c>
      <c r="H46" s="68">
        <v>9288563.3756021392</v>
      </c>
      <c r="I46" s="90">
        <f>SUM(I40:I45)</f>
        <v>9288563.3756021392</v>
      </c>
      <c r="J46" s="127">
        <f>SUM(J40:J45)</f>
        <v>11087133</v>
      </c>
      <c r="K46" s="90">
        <f>SUM(K40:K45)</f>
        <v>11087133</v>
      </c>
    </row>
    <row r="47" spans="1:14" x14ac:dyDescent="0.25">
      <c r="A47" s="27" t="s">
        <v>12</v>
      </c>
      <c r="B47" s="27" t="s">
        <v>12</v>
      </c>
    </row>
    <row r="48" spans="1:14" x14ac:dyDescent="0.25">
      <c r="A48" s="28" t="s">
        <v>67</v>
      </c>
      <c r="B48" s="28" t="s">
        <v>68</v>
      </c>
      <c r="C48" s="71"/>
      <c r="D48" s="71"/>
      <c r="E48" s="71"/>
      <c r="F48" s="71"/>
      <c r="G48" s="71"/>
      <c r="H48" s="68"/>
      <c r="I48" s="90"/>
      <c r="J48" s="127"/>
      <c r="K48" s="90"/>
    </row>
    <row r="49" spans="1:14" x14ac:dyDescent="0.25">
      <c r="A49" s="27" t="s">
        <v>69</v>
      </c>
      <c r="B49" s="27" t="s">
        <v>70</v>
      </c>
      <c r="J49" s="89">
        <f>I49*DATAARK!$B$3</f>
        <v>0</v>
      </c>
      <c r="K49" s="89">
        <f>J49*DATAARK!$C$3</f>
        <v>0</v>
      </c>
      <c r="N49" s="40">
        <f t="shared" ref="N49:N58" si="1">IF(J49&gt;0,0,2)</f>
        <v>2</v>
      </c>
    </row>
    <row r="50" spans="1:14" x14ac:dyDescent="0.25">
      <c r="A50" s="27" t="s">
        <v>71</v>
      </c>
      <c r="B50" s="27" t="s">
        <v>72</v>
      </c>
      <c r="C50" s="70">
        <v>12939.53</v>
      </c>
      <c r="G50" s="70">
        <v>-12939.53</v>
      </c>
      <c r="H50" s="51">
        <v>12939.53</v>
      </c>
      <c r="J50" s="89">
        <f>I50*DATAARK!$B$3</f>
        <v>0</v>
      </c>
      <c r="K50" s="89">
        <f>J50*DATAARK!$C$3</f>
        <v>0</v>
      </c>
      <c r="N50" s="40">
        <f t="shared" si="1"/>
        <v>2</v>
      </c>
    </row>
    <row r="51" spans="1:14" x14ac:dyDescent="0.25">
      <c r="A51" s="27" t="s">
        <v>73</v>
      </c>
      <c r="B51" s="27" t="s">
        <v>74</v>
      </c>
      <c r="J51" s="89">
        <f>I51*DATAARK!$B$3</f>
        <v>0</v>
      </c>
      <c r="K51" s="89">
        <f>J51*DATAARK!$C$3</f>
        <v>0</v>
      </c>
      <c r="N51" s="40">
        <f t="shared" si="1"/>
        <v>2</v>
      </c>
    </row>
    <row r="52" spans="1:14" x14ac:dyDescent="0.25">
      <c r="A52" s="27" t="s">
        <v>75</v>
      </c>
      <c r="B52" s="27" t="s">
        <v>76</v>
      </c>
      <c r="J52" s="89">
        <f>I52*DATAARK!$B$3</f>
        <v>0</v>
      </c>
      <c r="K52" s="89">
        <f>J52*DATAARK!$C$3</f>
        <v>0</v>
      </c>
      <c r="N52" s="40">
        <f t="shared" si="1"/>
        <v>2</v>
      </c>
    </row>
    <row r="53" spans="1:14" x14ac:dyDescent="0.25">
      <c r="A53" s="27" t="s">
        <v>77</v>
      </c>
      <c r="B53" s="27" t="s">
        <v>78</v>
      </c>
      <c r="J53" s="89">
        <f>I53*DATAARK!$B$3</f>
        <v>0</v>
      </c>
      <c r="K53" s="89">
        <f>J53*DATAARK!$C$3</f>
        <v>0</v>
      </c>
      <c r="N53" s="40">
        <f t="shared" si="1"/>
        <v>2</v>
      </c>
    </row>
    <row r="54" spans="1:14" x14ac:dyDescent="0.25">
      <c r="A54" s="27" t="s">
        <v>79</v>
      </c>
      <c r="B54" s="27" t="s">
        <v>80</v>
      </c>
      <c r="J54" s="89">
        <f>I54*DATAARK!$B$3</f>
        <v>0</v>
      </c>
      <c r="K54" s="89">
        <f>J54*DATAARK!$C$3</f>
        <v>0</v>
      </c>
      <c r="N54" s="40">
        <f t="shared" si="1"/>
        <v>2</v>
      </c>
    </row>
    <row r="55" spans="1:14" x14ac:dyDescent="0.25">
      <c r="A55" s="27" t="s">
        <v>81</v>
      </c>
      <c r="B55" s="27" t="s">
        <v>82</v>
      </c>
      <c r="J55" s="89">
        <f>I55*DATAARK!$B$3</f>
        <v>0</v>
      </c>
      <c r="K55" s="89">
        <f>J55*DATAARK!$C$3</f>
        <v>0</v>
      </c>
      <c r="N55" s="40">
        <f t="shared" si="1"/>
        <v>2</v>
      </c>
    </row>
    <row r="56" spans="1:14" x14ac:dyDescent="0.25">
      <c r="A56" s="27" t="s">
        <v>83</v>
      </c>
      <c r="B56" s="27" t="s">
        <v>84</v>
      </c>
      <c r="D56" s="70">
        <v>75000</v>
      </c>
      <c r="E56" s="70">
        <v>100</v>
      </c>
      <c r="G56" s="70">
        <v>75000</v>
      </c>
      <c r="H56" s="51">
        <v>75000</v>
      </c>
      <c r="I56" s="103">
        <v>75000</v>
      </c>
      <c r="J56" s="89">
        <f>I56*DATAARK!$B$3</f>
        <v>75000</v>
      </c>
      <c r="K56" s="89">
        <f>J56*DATAARK!$C$3</f>
        <v>75000</v>
      </c>
      <c r="N56" s="40">
        <f t="shared" si="1"/>
        <v>0</v>
      </c>
    </row>
    <row r="57" spans="1:14" x14ac:dyDescent="0.25">
      <c r="A57" s="27" t="s">
        <v>85</v>
      </c>
      <c r="B57" s="27" t="s">
        <v>86</v>
      </c>
      <c r="J57" s="89">
        <f>I57*DATAARK!$B$3</f>
        <v>0</v>
      </c>
      <c r="K57" s="89">
        <f>J57*DATAARK!$C$3</f>
        <v>0</v>
      </c>
      <c r="N57" s="40">
        <f t="shared" si="1"/>
        <v>2</v>
      </c>
    </row>
    <row r="58" spans="1:14" x14ac:dyDescent="0.25">
      <c r="A58" s="27" t="s">
        <v>87</v>
      </c>
      <c r="B58" s="27" t="s">
        <v>88</v>
      </c>
      <c r="D58" s="70">
        <v>77000</v>
      </c>
      <c r="E58" s="70">
        <v>100</v>
      </c>
      <c r="G58" s="70">
        <v>77000</v>
      </c>
      <c r="H58" s="51">
        <v>77000</v>
      </c>
      <c r="I58" s="103">
        <v>77000</v>
      </c>
      <c r="J58" s="89">
        <f>I58*DATAARK!$B$3</f>
        <v>77000</v>
      </c>
      <c r="K58" s="89">
        <f>J58*DATAARK!$C$3</f>
        <v>77000</v>
      </c>
      <c r="N58" s="40">
        <f t="shared" si="1"/>
        <v>0</v>
      </c>
    </row>
    <row r="59" spans="1:14" x14ac:dyDescent="0.25">
      <c r="A59" s="28" t="s">
        <v>89</v>
      </c>
      <c r="B59" s="28" t="s">
        <v>17</v>
      </c>
      <c r="C59" s="71">
        <v>12939.53</v>
      </c>
      <c r="D59" s="71">
        <v>152000</v>
      </c>
      <c r="E59" s="71">
        <v>91.49</v>
      </c>
      <c r="F59" s="71">
        <v>8.51</v>
      </c>
      <c r="G59" s="71">
        <v>139060.47</v>
      </c>
      <c r="H59" s="68">
        <v>164939.53</v>
      </c>
      <c r="I59" s="90">
        <f>SUM(I49:I58)</f>
        <v>152000</v>
      </c>
      <c r="J59" s="90">
        <f>SUM(J49:J58)</f>
        <v>152000</v>
      </c>
      <c r="K59" s="90">
        <f>SUM(K49:K58)</f>
        <v>152000</v>
      </c>
    </row>
    <row r="60" spans="1:14" x14ac:dyDescent="0.25">
      <c r="A60" s="27" t="s">
        <v>12</v>
      </c>
      <c r="B60" s="27" t="s">
        <v>12</v>
      </c>
    </row>
    <row r="61" spans="1:14" x14ac:dyDescent="0.25">
      <c r="A61" s="28" t="s">
        <v>90</v>
      </c>
      <c r="B61" s="28" t="s">
        <v>91</v>
      </c>
      <c r="C61" s="71"/>
      <c r="D61" s="71"/>
      <c r="E61" s="71"/>
      <c r="F61" s="71"/>
      <c r="G61" s="71"/>
      <c r="H61" s="68"/>
      <c r="I61" s="90"/>
      <c r="K61" s="90"/>
    </row>
    <row r="62" spans="1:14" x14ac:dyDescent="0.25">
      <c r="A62" s="27" t="s">
        <v>92</v>
      </c>
      <c r="B62" s="27" t="s">
        <v>93</v>
      </c>
      <c r="C62" s="70">
        <v>22758.05</v>
      </c>
      <c r="G62" s="70">
        <v>-22758.05</v>
      </c>
      <c r="H62" s="51">
        <v>22758.05</v>
      </c>
      <c r="I62" s="103">
        <f>C62</f>
        <v>22758.05</v>
      </c>
      <c r="J62" s="89">
        <f>I62*DATAARK!$B$3</f>
        <v>22758.05</v>
      </c>
      <c r="K62" s="89">
        <f>J62*DATAARK!$C$3</f>
        <v>22758.05</v>
      </c>
      <c r="N62" s="40">
        <f>IF(J62&gt;0,0,2)</f>
        <v>0</v>
      </c>
    </row>
    <row r="63" spans="1:14" x14ac:dyDescent="0.25">
      <c r="A63" s="28" t="s">
        <v>94</v>
      </c>
      <c r="B63" s="28" t="s">
        <v>95</v>
      </c>
      <c r="C63" s="71">
        <v>22758.05</v>
      </c>
      <c r="D63" s="71"/>
      <c r="E63" s="71"/>
      <c r="F63" s="71"/>
      <c r="G63" s="71">
        <v>-22758.05</v>
      </c>
      <c r="H63" s="68">
        <v>22758.05</v>
      </c>
      <c r="I63" s="90">
        <f>I62</f>
        <v>22758.05</v>
      </c>
      <c r="J63" s="90">
        <f>J62</f>
        <v>22758.05</v>
      </c>
      <c r="K63" s="90">
        <f>K62</f>
        <v>22758.05</v>
      </c>
    </row>
    <row r="64" spans="1:14" x14ac:dyDescent="0.25">
      <c r="A64" s="27" t="s">
        <v>12</v>
      </c>
      <c r="B64" s="27" t="s">
        <v>12</v>
      </c>
    </row>
    <row r="65" spans="1:14" x14ac:dyDescent="0.25">
      <c r="A65" s="28" t="s">
        <v>96</v>
      </c>
      <c r="B65" s="28" t="s">
        <v>97</v>
      </c>
      <c r="C65" s="71">
        <v>5457262.5800000001</v>
      </c>
      <c r="D65" s="71">
        <v>10827874.140000001</v>
      </c>
      <c r="E65" s="71">
        <v>49.6</v>
      </c>
      <c r="F65" s="71">
        <v>50.4</v>
      </c>
      <c r="G65" s="71">
        <v>5370611.5599999996</v>
      </c>
      <c r="H65" s="68">
        <v>9476260.9556021392</v>
      </c>
      <c r="I65" s="90">
        <f>I63+I59+I46</f>
        <v>9463321.4256021399</v>
      </c>
      <c r="J65" s="90">
        <f>J46+J59+J63</f>
        <v>11261891.050000001</v>
      </c>
      <c r="K65" s="90">
        <f>K46+K59+K63</f>
        <v>11261891.050000001</v>
      </c>
    </row>
    <row r="66" spans="1:14" x14ac:dyDescent="0.25">
      <c r="A66" s="27" t="s">
        <v>12</v>
      </c>
      <c r="B66" s="27" t="s">
        <v>12</v>
      </c>
    </row>
    <row r="67" spans="1:14" x14ac:dyDescent="0.25">
      <c r="A67" s="28" t="s">
        <v>98</v>
      </c>
      <c r="B67" s="28" t="s">
        <v>99</v>
      </c>
      <c r="C67" s="71"/>
      <c r="D67" s="71"/>
      <c r="E67" s="71"/>
      <c r="F67" s="71"/>
      <c r="G67" s="71"/>
      <c r="H67" s="68"/>
      <c r="I67" s="90"/>
      <c r="J67" s="127"/>
      <c r="K67" s="90"/>
    </row>
    <row r="68" spans="1:14" x14ac:dyDescent="0.25">
      <c r="A68" s="27" t="s">
        <v>100</v>
      </c>
      <c r="B68" s="27" t="s">
        <v>101</v>
      </c>
      <c r="J68" s="89">
        <f>I68*DATAARK!$B$3</f>
        <v>0</v>
      </c>
      <c r="K68" s="89">
        <f>J68*DATAARK!$C$3</f>
        <v>0</v>
      </c>
      <c r="N68" s="40">
        <f>IF(J68&gt;0,1,0)</f>
        <v>0</v>
      </c>
    </row>
    <row r="69" spans="1:14" x14ac:dyDescent="0.25">
      <c r="A69" s="27" t="s">
        <v>102</v>
      </c>
      <c r="B69" s="27" t="s">
        <v>103</v>
      </c>
      <c r="J69" s="89">
        <f>I69*DATAARK!$B$3</f>
        <v>0</v>
      </c>
      <c r="K69" s="89">
        <f>J69*DATAARK!$C$3</f>
        <v>0</v>
      </c>
      <c r="N69" s="40">
        <f>IF(J69&gt;0,1,0)</f>
        <v>0</v>
      </c>
    </row>
    <row r="70" spans="1:14" x14ac:dyDescent="0.25">
      <c r="A70" s="28" t="s">
        <v>104</v>
      </c>
      <c r="B70" s="28" t="s">
        <v>105</v>
      </c>
      <c r="C70" s="71"/>
      <c r="D70" s="71"/>
      <c r="E70" s="71"/>
      <c r="F70" s="71"/>
      <c r="G70" s="71"/>
      <c r="H70" s="68"/>
      <c r="I70" s="90"/>
      <c r="J70" s="127"/>
      <c r="K70" s="90"/>
    </row>
    <row r="71" spans="1:14" x14ac:dyDescent="0.25">
      <c r="A71" s="27" t="s">
        <v>12</v>
      </c>
      <c r="B71" s="27" t="s">
        <v>12</v>
      </c>
    </row>
    <row r="72" spans="1:14" x14ac:dyDescent="0.25">
      <c r="A72" s="28" t="s">
        <v>106</v>
      </c>
      <c r="B72" s="28" t="s">
        <v>107</v>
      </c>
      <c r="C72" s="71"/>
      <c r="D72" s="71"/>
      <c r="E72" s="71"/>
      <c r="F72" s="71"/>
      <c r="G72" s="71"/>
      <c r="H72" s="68"/>
      <c r="I72" s="90"/>
      <c r="J72" s="127"/>
      <c r="K72" s="90"/>
    </row>
    <row r="73" spans="1:14" x14ac:dyDescent="0.25">
      <c r="A73" s="27" t="s">
        <v>108</v>
      </c>
      <c r="B73" s="27" t="s">
        <v>109</v>
      </c>
      <c r="C73" s="70">
        <v>-67991</v>
      </c>
      <c r="D73" s="70">
        <v>-140000</v>
      </c>
      <c r="E73" s="70">
        <v>51.44</v>
      </c>
      <c r="F73" s="70">
        <v>48.57</v>
      </c>
      <c r="G73" s="70">
        <v>-72009</v>
      </c>
      <c r="H73" s="51">
        <v>-140000</v>
      </c>
      <c r="I73" s="103">
        <v>-140000</v>
      </c>
      <c r="J73" s="89">
        <f>I73*DATAARK!$B$3</f>
        <v>-140000</v>
      </c>
      <c r="K73" s="89">
        <f>J73*DATAARK!$C$3</f>
        <v>-140000</v>
      </c>
      <c r="N73" s="40">
        <f>IF(J73&gt;0,1,0)</f>
        <v>0</v>
      </c>
    </row>
    <row r="74" spans="1:14" x14ac:dyDescent="0.25">
      <c r="A74" s="27" t="s">
        <v>110</v>
      </c>
      <c r="B74" s="27" t="s">
        <v>111</v>
      </c>
      <c r="C74" s="70">
        <v>-12141.25</v>
      </c>
      <c r="G74" s="70">
        <v>12141.25</v>
      </c>
      <c r="H74" s="51">
        <v>-12141.25</v>
      </c>
      <c r="I74" s="103">
        <v>-12141.25</v>
      </c>
      <c r="J74" s="89">
        <f>I74*DATAARK!$B$3</f>
        <v>-12141.25</v>
      </c>
      <c r="K74" s="89">
        <f>J74*DATAARK!$C$3</f>
        <v>-12141.25</v>
      </c>
      <c r="N74" s="40">
        <f>IF(J74&gt;0,1,0)</f>
        <v>0</v>
      </c>
    </row>
    <row r="75" spans="1:14" x14ac:dyDescent="0.25">
      <c r="A75" s="27" t="s">
        <v>112</v>
      </c>
      <c r="B75" s="27" t="s">
        <v>113</v>
      </c>
      <c r="C75" s="70">
        <v>-9713</v>
      </c>
      <c r="G75" s="70">
        <v>9713</v>
      </c>
      <c r="H75" s="51">
        <v>-9713</v>
      </c>
      <c r="I75" s="103">
        <v>-9713</v>
      </c>
      <c r="J75" s="89">
        <f>I75*DATAARK!$B$3</f>
        <v>-9713</v>
      </c>
      <c r="K75" s="89">
        <f>J75*DATAARK!$C$3</f>
        <v>-9713</v>
      </c>
      <c r="N75" s="40">
        <f>IF(J75&gt;0,1,0)</f>
        <v>0</v>
      </c>
    </row>
    <row r="76" spans="1:14" x14ac:dyDescent="0.25">
      <c r="A76" s="27" t="s">
        <v>114</v>
      </c>
      <c r="B76" s="27" t="s">
        <v>115</v>
      </c>
      <c r="C76" s="70">
        <v>-708</v>
      </c>
      <c r="D76" s="70">
        <v>-5000</v>
      </c>
      <c r="E76" s="70">
        <v>85.84</v>
      </c>
      <c r="F76" s="70">
        <v>14.16</v>
      </c>
      <c r="G76" s="70">
        <v>-4292</v>
      </c>
      <c r="H76" s="51">
        <v>-5000</v>
      </c>
      <c r="I76" s="103">
        <v>-5000</v>
      </c>
      <c r="J76" s="89">
        <f>I76*DATAARK!$B$3</f>
        <v>-5000</v>
      </c>
      <c r="K76" s="89">
        <f>J76*DATAARK!$C$3</f>
        <v>-5000</v>
      </c>
      <c r="N76" s="40">
        <f>IF(J76&gt;0,1,0)</f>
        <v>0</v>
      </c>
    </row>
    <row r="77" spans="1:14" x14ac:dyDescent="0.25">
      <c r="A77" s="28" t="s">
        <v>116</v>
      </c>
      <c r="B77" s="28" t="s">
        <v>117</v>
      </c>
      <c r="C77" s="71">
        <v>-90553.25</v>
      </c>
      <c r="D77" s="71">
        <v>-145000</v>
      </c>
      <c r="E77" s="71">
        <v>37.549999999999997</v>
      </c>
      <c r="F77" s="71">
        <v>62.45</v>
      </c>
      <c r="G77" s="71">
        <v>-54446.75</v>
      </c>
      <c r="H77" s="68">
        <v>-166854.25</v>
      </c>
      <c r="I77" s="90">
        <f>SUM(I73:I76)</f>
        <v>-166854.25</v>
      </c>
      <c r="J77" s="127">
        <f>SUM(J73:J76)</f>
        <v>-166854.25</v>
      </c>
      <c r="K77" s="90">
        <f>SUM(K73:K76)</f>
        <v>-166854.25</v>
      </c>
    </row>
    <row r="78" spans="1:14" x14ac:dyDescent="0.25">
      <c r="A78" s="27" t="s">
        <v>12</v>
      </c>
      <c r="B78" s="27" t="s">
        <v>12</v>
      </c>
    </row>
    <row r="79" spans="1:14" x14ac:dyDescent="0.25">
      <c r="A79" s="28" t="s">
        <v>118</v>
      </c>
      <c r="B79" s="28" t="s">
        <v>119</v>
      </c>
      <c r="C79" s="71"/>
      <c r="D79" s="71"/>
      <c r="E79" s="71"/>
      <c r="F79" s="71"/>
      <c r="G79" s="71"/>
      <c r="H79" s="68"/>
      <c r="I79" s="90"/>
      <c r="J79" s="127"/>
      <c r="K79" s="90"/>
    </row>
    <row r="80" spans="1:14" x14ac:dyDescent="0.25">
      <c r="A80" s="27" t="s">
        <v>120</v>
      </c>
      <c r="B80" s="27" t="s">
        <v>121</v>
      </c>
      <c r="N80" s="40">
        <f>IF(J80&gt;0,1,0)</f>
        <v>0</v>
      </c>
    </row>
    <row r="81" spans="1:14" x14ac:dyDescent="0.25">
      <c r="A81" s="27" t="s">
        <v>122</v>
      </c>
      <c r="B81" s="27" t="s">
        <v>123</v>
      </c>
      <c r="N81" s="40">
        <f>IF(J81&gt;0,1,0)</f>
        <v>0</v>
      </c>
    </row>
    <row r="82" spans="1:14" x14ac:dyDescent="0.25">
      <c r="A82" s="28" t="s">
        <v>124</v>
      </c>
      <c r="B82" s="28" t="s">
        <v>125</v>
      </c>
      <c r="C82" s="71"/>
      <c r="D82" s="71"/>
      <c r="E82" s="71"/>
      <c r="F82" s="71"/>
      <c r="G82" s="71"/>
      <c r="H82" s="68">
        <v>0</v>
      </c>
      <c r="I82" s="90">
        <f>I80+I81</f>
        <v>0</v>
      </c>
      <c r="J82" s="127"/>
      <c r="K82" s="90"/>
    </row>
    <row r="83" spans="1:14" x14ac:dyDescent="0.25">
      <c r="A83" s="27" t="s">
        <v>12</v>
      </c>
      <c r="B83" s="27" t="s">
        <v>12</v>
      </c>
    </row>
    <row r="84" spans="1:14" x14ac:dyDescent="0.25">
      <c r="A84" s="28" t="s">
        <v>126</v>
      </c>
      <c r="B84" s="28" t="s">
        <v>30</v>
      </c>
      <c r="C84" s="71"/>
      <c r="D84" s="71"/>
      <c r="E84" s="71"/>
      <c r="F84" s="71"/>
      <c r="G84" s="71"/>
      <c r="H84" s="68"/>
      <c r="I84" s="90"/>
      <c r="J84" s="127"/>
      <c r="K84" s="90"/>
    </row>
    <row r="85" spans="1:14" x14ac:dyDescent="0.25">
      <c r="A85" s="27" t="s">
        <v>127</v>
      </c>
      <c r="B85" s="27" t="s">
        <v>128</v>
      </c>
      <c r="J85" s="89">
        <f>I85*DATAARK!$B$4</f>
        <v>0</v>
      </c>
      <c r="K85" s="89">
        <f>J85*DATAARK!$C$4</f>
        <v>0</v>
      </c>
      <c r="N85" s="40">
        <f t="shared" ref="N85:N106" si="2">IF(J85&gt;0,1,0)</f>
        <v>0</v>
      </c>
    </row>
    <row r="86" spans="1:14" x14ac:dyDescent="0.25">
      <c r="A86" s="27" t="s">
        <v>129</v>
      </c>
      <c r="B86" s="27" t="s">
        <v>130</v>
      </c>
      <c r="D86" s="70">
        <v>-64584</v>
      </c>
      <c r="E86" s="70">
        <v>100</v>
      </c>
      <c r="G86" s="70">
        <v>-64584</v>
      </c>
      <c r="H86" s="51">
        <v>0</v>
      </c>
      <c r="I86" s="103">
        <v>0</v>
      </c>
      <c r="J86" s="89">
        <f>I86*DATAARK!$B$4</f>
        <v>0</v>
      </c>
      <c r="K86" s="89">
        <f>J86*DATAARK!$C$4</f>
        <v>0</v>
      </c>
      <c r="N86" s="40">
        <f t="shared" si="2"/>
        <v>0</v>
      </c>
    </row>
    <row r="87" spans="1:14" x14ac:dyDescent="0.25">
      <c r="A87" s="27" t="s">
        <v>131</v>
      </c>
      <c r="B87" s="27" t="s">
        <v>132</v>
      </c>
      <c r="J87" s="89">
        <f>I87*DATAARK!$B$4</f>
        <v>0</v>
      </c>
      <c r="K87" s="89">
        <f>J87*DATAARK!$C$4</f>
        <v>0</v>
      </c>
      <c r="N87" s="40">
        <f t="shared" si="2"/>
        <v>0</v>
      </c>
    </row>
    <row r="88" spans="1:14" x14ac:dyDescent="0.25">
      <c r="A88" s="27" t="s">
        <v>133</v>
      </c>
      <c r="B88" s="27" t="s">
        <v>134</v>
      </c>
      <c r="C88" s="70">
        <v>-1748.84</v>
      </c>
      <c r="G88" s="70">
        <v>1748.84</v>
      </c>
      <c r="H88" s="51">
        <v>-1748.84</v>
      </c>
      <c r="J88" s="89">
        <f>I88*DATAARK!$B$4</f>
        <v>0</v>
      </c>
      <c r="K88" s="89">
        <f>J88*DATAARK!$C$4</f>
        <v>0</v>
      </c>
      <c r="N88" s="40">
        <f t="shared" si="2"/>
        <v>0</v>
      </c>
    </row>
    <row r="89" spans="1:14" x14ac:dyDescent="0.25">
      <c r="A89" s="27" t="s">
        <v>135</v>
      </c>
      <c r="B89" s="27" t="s">
        <v>136</v>
      </c>
      <c r="C89" s="70">
        <v>1748.84</v>
      </c>
      <c r="G89" s="70">
        <v>-1748.84</v>
      </c>
      <c r="H89" s="51">
        <v>1748.84</v>
      </c>
      <c r="J89" s="89">
        <f>I89*DATAARK!$B$4</f>
        <v>0</v>
      </c>
      <c r="K89" s="89">
        <f>J89*DATAARK!$C$4</f>
        <v>0</v>
      </c>
      <c r="N89" s="40">
        <f t="shared" si="2"/>
        <v>0</v>
      </c>
    </row>
    <row r="90" spans="1:14" x14ac:dyDescent="0.25">
      <c r="A90" s="27" t="s">
        <v>137</v>
      </c>
      <c r="B90" s="27" t="s">
        <v>138</v>
      </c>
      <c r="C90" s="70">
        <v>-3406703.37</v>
      </c>
      <c r="D90" s="70">
        <v>-6958112.6399999997</v>
      </c>
      <c r="E90" s="70">
        <v>51.04</v>
      </c>
      <c r="F90" s="70">
        <v>48.96</v>
      </c>
      <c r="G90" s="70">
        <v>-3551409.27</v>
      </c>
      <c r="H90" s="51">
        <v>-6206889.04</v>
      </c>
      <c r="I90" s="103">
        <v>-6343411.3499999996</v>
      </c>
      <c r="J90" s="89">
        <f>I90*DATAARK!$B$4</f>
        <v>-6343411.3499999996</v>
      </c>
      <c r="K90" s="89">
        <f>J90*DATAARK!$C$4</f>
        <v>-6343411.3499999996</v>
      </c>
      <c r="N90" s="40">
        <f t="shared" si="2"/>
        <v>0</v>
      </c>
    </row>
    <row r="91" spans="1:14" x14ac:dyDescent="0.25">
      <c r="A91" s="27" t="s">
        <v>139</v>
      </c>
      <c r="B91" s="27" t="s">
        <v>140</v>
      </c>
      <c r="J91" s="89">
        <f>I91*DATAARK!$B$4</f>
        <v>0</v>
      </c>
      <c r="K91" s="89">
        <f>J91*DATAARK!$C$4</f>
        <v>0</v>
      </c>
      <c r="N91" s="40">
        <f t="shared" si="2"/>
        <v>0</v>
      </c>
    </row>
    <row r="92" spans="1:14" x14ac:dyDescent="0.25">
      <c r="A92" s="27" t="s">
        <v>141</v>
      </c>
      <c r="B92" s="27" t="s">
        <v>142</v>
      </c>
      <c r="J92" s="89">
        <f>I92*DATAARK!$B$4</f>
        <v>0</v>
      </c>
      <c r="K92" s="89">
        <f>J92*DATAARK!$C$4</f>
        <v>0</v>
      </c>
      <c r="N92" s="40">
        <f t="shared" si="2"/>
        <v>0</v>
      </c>
    </row>
    <row r="93" spans="1:14" x14ac:dyDescent="0.25">
      <c r="A93" s="27" t="s">
        <v>143</v>
      </c>
      <c r="B93" s="27" t="s">
        <v>144</v>
      </c>
      <c r="J93" s="89">
        <f>I93*DATAARK!$B$4</f>
        <v>0</v>
      </c>
      <c r="K93" s="89">
        <f>J93*DATAARK!$C$4</f>
        <v>0</v>
      </c>
      <c r="N93" s="40">
        <f t="shared" si="2"/>
        <v>0</v>
      </c>
    </row>
    <row r="94" spans="1:14" x14ac:dyDescent="0.25">
      <c r="A94" s="27" t="s">
        <v>145</v>
      </c>
      <c r="B94" s="27" t="s">
        <v>146</v>
      </c>
      <c r="C94" s="70">
        <v>2161.1999999999998</v>
      </c>
      <c r="G94" s="70">
        <v>-2161.1999999999998</v>
      </c>
      <c r="H94" s="51">
        <v>2161.1999999999998</v>
      </c>
      <c r="J94" s="89">
        <f>I94*DATAARK!$B$4</f>
        <v>0</v>
      </c>
      <c r="K94" s="89">
        <f>J94*DATAARK!$C$4</f>
        <v>0</v>
      </c>
      <c r="N94" s="40">
        <f t="shared" si="2"/>
        <v>0</v>
      </c>
    </row>
    <row r="95" spans="1:14" x14ac:dyDescent="0.25">
      <c r="A95" s="27" t="s">
        <v>147</v>
      </c>
      <c r="B95" s="27" t="s">
        <v>148</v>
      </c>
      <c r="C95" s="70">
        <v>-12969.53</v>
      </c>
      <c r="G95" s="70">
        <v>12969.53</v>
      </c>
      <c r="H95" s="51">
        <v>-12969.53</v>
      </c>
      <c r="J95" s="89">
        <f>I95*DATAARK!$B$4</f>
        <v>0</v>
      </c>
      <c r="K95" s="89">
        <f>J95*DATAARK!$C$4</f>
        <v>0</v>
      </c>
      <c r="N95" s="40">
        <f t="shared" si="2"/>
        <v>0</v>
      </c>
    </row>
    <row r="96" spans="1:14" x14ac:dyDescent="0.25">
      <c r="A96" s="27" t="s">
        <v>149</v>
      </c>
      <c r="B96" s="27" t="s">
        <v>150</v>
      </c>
      <c r="J96" s="89">
        <f>I96*DATAARK!$B$4</f>
        <v>0</v>
      </c>
      <c r="K96" s="89">
        <f>J96*DATAARK!$C$4</f>
        <v>0</v>
      </c>
      <c r="N96" s="40">
        <f t="shared" si="2"/>
        <v>0</v>
      </c>
    </row>
    <row r="97" spans="1:14" x14ac:dyDescent="0.25">
      <c r="A97" s="27" t="s">
        <v>151</v>
      </c>
      <c r="B97" s="27" t="s">
        <v>152</v>
      </c>
      <c r="J97" s="89">
        <f>I97*DATAARK!$B$4</f>
        <v>0</v>
      </c>
      <c r="K97" s="89">
        <f>J97*DATAARK!$C$4</f>
        <v>0</v>
      </c>
      <c r="N97" s="40">
        <f t="shared" si="2"/>
        <v>0</v>
      </c>
    </row>
    <row r="98" spans="1:14" x14ac:dyDescent="0.25">
      <c r="A98" s="27" t="s">
        <v>153</v>
      </c>
      <c r="B98" s="27" t="s">
        <v>154</v>
      </c>
      <c r="J98" s="89">
        <f>I98*DATAARK!$B$4</f>
        <v>0</v>
      </c>
      <c r="K98" s="89">
        <f>J98*DATAARK!$C$4</f>
        <v>0</v>
      </c>
      <c r="N98" s="40">
        <f t="shared" si="2"/>
        <v>0</v>
      </c>
    </row>
    <row r="99" spans="1:14" x14ac:dyDescent="0.25">
      <c r="A99" s="27" t="s">
        <v>155</v>
      </c>
      <c r="B99" s="27" t="s">
        <v>156</v>
      </c>
      <c r="J99" s="89">
        <f>I99*DATAARK!$B$4</f>
        <v>0</v>
      </c>
      <c r="K99" s="89">
        <f>J99*DATAARK!$C$4</f>
        <v>0</v>
      </c>
      <c r="N99" s="40">
        <f t="shared" si="2"/>
        <v>0</v>
      </c>
    </row>
    <row r="100" spans="1:14" x14ac:dyDescent="0.25">
      <c r="A100" s="27" t="s">
        <v>157</v>
      </c>
      <c r="B100" s="27" t="s">
        <v>158</v>
      </c>
      <c r="J100" s="89">
        <f>I100*DATAARK!$B$4</f>
        <v>0</v>
      </c>
      <c r="K100" s="89">
        <f>J100*DATAARK!$C$4</f>
        <v>0</v>
      </c>
      <c r="N100" s="40">
        <f t="shared" si="2"/>
        <v>0</v>
      </c>
    </row>
    <row r="101" spans="1:14" x14ac:dyDescent="0.25">
      <c r="A101" s="27" t="s">
        <v>159</v>
      </c>
      <c r="B101" s="27" t="s">
        <v>160</v>
      </c>
      <c r="J101" s="89">
        <f>I101*DATAARK!$B$4</f>
        <v>0</v>
      </c>
      <c r="K101" s="89">
        <f>J101*DATAARK!$C$4</f>
        <v>0</v>
      </c>
      <c r="N101" s="40">
        <f t="shared" si="2"/>
        <v>0</v>
      </c>
    </row>
    <row r="102" spans="1:14" x14ac:dyDescent="0.25">
      <c r="A102" s="27" t="s">
        <v>161</v>
      </c>
      <c r="B102" s="27" t="s">
        <v>162</v>
      </c>
      <c r="J102" s="89">
        <f>I102*DATAARK!$B$4</f>
        <v>0</v>
      </c>
      <c r="K102" s="89">
        <f>J102*DATAARK!$C$4</f>
        <v>0</v>
      </c>
      <c r="N102" s="40">
        <f t="shared" si="2"/>
        <v>0</v>
      </c>
    </row>
    <row r="103" spans="1:14" x14ac:dyDescent="0.25">
      <c r="A103" s="27" t="s">
        <v>163</v>
      </c>
      <c r="B103" s="27" t="s">
        <v>164</v>
      </c>
      <c r="J103" s="89">
        <f>I103*DATAARK!$B$4</f>
        <v>0</v>
      </c>
      <c r="K103" s="89">
        <f>J103*DATAARK!$C$4</f>
        <v>0</v>
      </c>
      <c r="N103" s="40">
        <f t="shared" si="2"/>
        <v>0</v>
      </c>
    </row>
    <row r="104" spans="1:14" x14ac:dyDescent="0.25">
      <c r="A104" s="27" t="s">
        <v>165</v>
      </c>
      <c r="B104" s="27" t="s">
        <v>166</v>
      </c>
      <c r="J104" s="89">
        <f>I104*DATAARK!$B$4</f>
        <v>0</v>
      </c>
      <c r="K104" s="89">
        <f>J104*DATAARK!$C$4</f>
        <v>0</v>
      </c>
      <c r="N104" s="40">
        <f t="shared" si="2"/>
        <v>0</v>
      </c>
    </row>
    <row r="105" spans="1:14" x14ac:dyDescent="0.25">
      <c r="A105" s="27" t="s">
        <v>167</v>
      </c>
      <c r="B105" s="27" t="s">
        <v>168</v>
      </c>
      <c r="J105" s="89">
        <f>I105*DATAARK!$B$4</f>
        <v>0</v>
      </c>
      <c r="K105" s="89">
        <f>J105*DATAARK!$C$4</f>
        <v>0</v>
      </c>
      <c r="N105" s="40">
        <f t="shared" si="2"/>
        <v>0</v>
      </c>
    </row>
    <row r="106" spans="1:14" x14ac:dyDescent="0.25">
      <c r="A106" s="27" t="s">
        <v>169</v>
      </c>
      <c r="B106" s="27" t="s">
        <v>170</v>
      </c>
      <c r="C106" s="70">
        <v>173353.96</v>
      </c>
      <c r="G106" s="70">
        <v>-173353.96</v>
      </c>
      <c r="H106" s="51">
        <v>173353.96</v>
      </c>
      <c r="J106" s="89">
        <f>I106*DATAARK!$B$4</f>
        <v>0</v>
      </c>
      <c r="K106" s="89">
        <f>J106*DATAARK!$C$4</f>
        <v>0</v>
      </c>
      <c r="N106" s="40">
        <f t="shared" si="2"/>
        <v>0</v>
      </c>
    </row>
    <row r="107" spans="1:14" x14ac:dyDescent="0.25">
      <c r="A107" s="28" t="s">
        <v>171</v>
      </c>
      <c r="B107" s="28" t="s">
        <v>172</v>
      </c>
      <c r="C107" s="71">
        <v>-3244157.74</v>
      </c>
      <c r="D107" s="71">
        <v>-7022696.6399999997</v>
      </c>
      <c r="E107" s="71">
        <v>53.8</v>
      </c>
      <c r="F107" s="71">
        <v>46.2</v>
      </c>
      <c r="G107" s="71">
        <v>-3778538.9</v>
      </c>
      <c r="H107" s="68">
        <v>-6044343.4100000001</v>
      </c>
      <c r="I107" s="90">
        <f>SUM(I85:I106)</f>
        <v>-6343411.3499999996</v>
      </c>
      <c r="J107" s="89">
        <f>SUM(J85:J106)</f>
        <v>-6343411.3499999996</v>
      </c>
      <c r="K107" s="90">
        <f>SUM(K85:K106)</f>
        <v>-6343411.3499999996</v>
      </c>
    </row>
    <row r="108" spans="1:14" x14ac:dyDescent="0.25">
      <c r="A108" s="27" t="s">
        <v>12</v>
      </c>
      <c r="B108" s="27" t="s">
        <v>12</v>
      </c>
    </row>
    <row r="109" spans="1:14" x14ac:dyDescent="0.25">
      <c r="A109" s="28" t="s">
        <v>173</v>
      </c>
      <c r="B109" s="28" t="s">
        <v>174</v>
      </c>
      <c r="C109" s="71"/>
      <c r="D109" s="71"/>
      <c r="E109" s="71"/>
      <c r="F109" s="71"/>
      <c r="G109" s="71"/>
      <c r="H109" s="68"/>
      <c r="I109" s="90"/>
      <c r="J109" s="127"/>
      <c r="K109" s="90"/>
    </row>
    <row r="110" spans="1:14" x14ac:dyDescent="0.25">
      <c r="A110" s="27" t="s">
        <v>175</v>
      </c>
      <c r="B110" s="27" t="s">
        <v>174</v>
      </c>
      <c r="C110" s="70">
        <v>-569619.12</v>
      </c>
      <c r="D110" s="70">
        <v>-1383445.38</v>
      </c>
      <c r="E110" s="70">
        <v>58.83</v>
      </c>
      <c r="F110" s="70">
        <v>41.17</v>
      </c>
      <c r="G110" s="70">
        <v>-813826.26</v>
      </c>
      <c r="H110" s="51">
        <v>-1279508.8500000001</v>
      </c>
      <c r="I110" s="103">
        <v>-1095809.1499999999</v>
      </c>
      <c r="J110" s="89">
        <f>I110*DATAARK!$B$4</f>
        <v>-1095809.1499999999</v>
      </c>
      <c r="K110" s="89">
        <f>J110*DATAARK!$C$4</f>
        <v>-1095809.1499999999</v>
      </c>
      <c r="N110" s="40">
        <f>IF(J110&gt;0,1,0)</f>
        <v>0</v>
      </c>
    </row>
    <row r="111" spans="1:14" x14ac:dyDescent="0.25">
      <c r="A111" s="27" t="s">
        <v>176</v>
      </c>
      <c r="B111" s="27" t="s">
        <v>177</v>
      </c>
      <c r="J111" s="89">
        <f>I111*DATAARK!$B$4</f>
        <v>0</v>
      </c>
      <c r="K111" s="89">
        <f>J111*DATAARK!$C$4</f>
        <v>0</v>
      </c>
      <c r="N111" s="40">
        <f>IF(J111&gt;0,1,0)</f>
        <v>0</v>
      </c>
    </row>
    <row r="112" spans="1:14" x14ac:dyDescent="0.25">
      <c r="A112" s="28" t="s">
        <v>178</v>
      </c>
      <c r="B112" s="28" t="s">
        <v>179</v>
      </c>
      <c r="C112" s="71">
        <v>-569619.12</v>
      </c>
      <c r="D112" s="71">
        <v>-1383445.38</v>
      </c>
      <c r="E112" s="71">
        <v>58.83</v>
      </c>
      <c r="F112" s="71">
        <v>41.17</v>
      </c>
      <c r="G112" s="71">
        <v>-813826.26</v>
      </c>
      <c r="H112" s="68">
        <v>-1279508.8500000001</v>
      </c>
      <c r="I112" s="90">
        <f>I110+I111</f>
        <v>-1095809.1499999999</v>
      </c>
      <c r="J112" s="127">
        <f>J110+J111</f>
        <v>-1095809.1499999999</v>
      </c>
      <c r="K112" s="90">
        <f>K110+K111</f>
        <v>-1095809.1499999999</v>
      </c>
    </row>
    <row r="113" spans="1:14" x14ac:dyDescent="0.25">
      <c r="A113" s="27" t="s">
        <v>12</v>
      </c>
      <c r="B113" s="27" t="s">
        <v>12</v>
      </c>
    </row>
    <row r="114" spans="1:14" x14ac:dyDescent="0.25">
      <c r="A114" s="28" t="s">
        <v>180</v>
      </c>
      <c r="B114" s="28" t="s">
        <v>181</v>
      </c>
      <c r="C114" s="71"/>
      <c r="D114" s="71"/>
      <c r="E114" s="71"/>
      <c r="F114" s="71"/>
      <c r="G114" s="71"/>
      <c r="H114" s="68"/>
      <c r="I114" s="90"/>
      <c r="K114" s="89"/>
    </row>
    <row r="115" spans="1:14" x14ac:dyDescent="0.25">
      <c r="A115" s="27" t="s">
        <v>182</v>
      </c>
      <c r="B115" s="27" t="s">
        <v>183</v>
      </c>
      <c r="C115" s="70">
        <v>91785.13</v>
      </c>
      <c r="D115" s="70">
        <v>163797</v>
      </c>
      <c r="E115" s="70">
        <v>43.96</v>
      </c>
      <c r="F115" s="70">
        <v>56.04</v>
      </c>
      <c r="G115" s="70">
        <v>72011.87</v>
      </c>
      <c r="H115" s="51">
        <v>183570.26</v>
      </c>
      <c r="I115" s="103">
        <f>C115*2</f>
        <v>183570.26</v>
      </c>
      <c r="J115" s="89">
        <f>I115*DATAARK!$B$4</f>
        <v>183570.26</v>
      </c>
      <c r="K115" s="89">
        <f>J115*DATAARK!$C$4</f>
        <v>183570.26</v>
      </c>
      <c r="N115" s="40">
        <f t="shared" ref="N115:N121" si="3">IF(J115&gt;0,0,2)</f>
        <v>0</v>
      </c>
    </row>
    <row r="116" spans="1:14" x14ac:dyDescent="0.25">
      <c r="A116" s="27" t="s">
        <v>184</v>
      </c>
      <c r="B116" s="27" t="s">
        <v>185</v>
      </c>
      <c r="C116" s="70">
        <v>153686</v>
      </c>
      <c r="G116" s="70">
        <v>-153686</v>
      </c>
      <c r="H116" s="51">
        <v>153686</v>
      </c>
      <c r="I116" s="103">
        <f>C116</f>
        <v>153686</v>
      </c>
      <c r="J116" s="89">
        <f>I116*DATAARK!$B$4</f>
        <v>153686</v>
      </c>
      <c r="K116" s="89">
        <f>J116*DATAARK!$C$4</f>
        <v>153686</v>
      </c>
      <c r="N116" s="40">
        <f t="shared" si="3"/>
        <v>0</v>
      </c>
    </row>
    <row r="117" spans="1:14" x14ac:dyDescent="0.25">
      <c r="A117" s="27" t="s">
        <v>186</v>
      </c>
      <c r="B117" s="27" t="s">
        <v>187</v>
      </c>
      <c r="J117" s="89">
        <f>I117*DATAARK!$B$4</f>
        <v>0</v>
      </c>
      <c r="K117" s="89">
        <f>J117*DATAARK!$C$4</f>
        <v>0</v>
      </c>
      <c r="N117" s="40">
        <f t="shared" si="3"/>
        <v>2</v>
      </c>
    </row>
    <row r="118" spans="1:14" x14ac:dyDescent="0.25">
      <c r="A118" s="27" t="s">
        <v>188</v>
      </c>
      <c r="B118" s="27" t="s">
        <v>189</v>
      </c>
      <c r="J118" s="89">
        <f>I118*DATAARK!$B$4</f>
        <v>0</v>
      </c>
      <c r="K118" s="89">
        <f>J118*DATAARK!$C$4</f>
        <v>0</v>
      </c>
      <c r="N118" s="40">
        <f t="shared" si="3"/>
        <v>2</v>
      </c>
    </row>
    <row r="119" spans="1:14" x14ac:dyDescent="0.25">
      <c r="A119" s="27" t="s">
        <v>190</v>
      </c>
      <c r="B119" s="27" t="s">
        <v>191</v>
      </c>
      <c r="J119" s="89">
        <f>I119*DATAARK!$B$4</f>
        <v>0</v>
      </c>
      <c r="K119" s="89">
        <f>J119*DATAARK!$C$4</f>
        <v>0</v>
      </c>
      <c r="N119" s="40">
        <f t="shared" si="3"/>
        <v>2</v>
      </c>
    </row>
    <row r="120" spans="1:14" x14ac:dyDescent="0.25">
      <c r="A120" s="27" t="s">
        <v>192</v>
      </c>
      <c r="B120" s="27" t="s">
        <v>193</v>
      </c>
      <c r="J120" s="89">
        <f>I120*DATAARK!$B$4</f>
        <v>0</v>
      </c>
      <c r="K120" s="89">
        <f>J120*DATAARK!$C$4</f>
        <v>0</v>
      </c>
      <c r="N120" s="40">
        <f t="shared" si="3"/>
        <v>2</v>
      </c>
    </row>
    <row r="121" spans="1:14" x14ac:dyDescent="0.25">
      <c r="A121" s="27" t="s">
        <v>194</v>
      </c>
      <c r="B121" s="27" t="s">
        <v>195</v>
      </c>
      <c r="J121" s="89">
        <f>I121*DATAARK!$B$4</f>
        <v>0</v>
      </c>
      <c r="K121" s="89">
        <f>J121*DATAARK!$C$4</f>
        <v>0</v>
      </c>
      <c r="N121" s="40">
        <f t="shared" si="3"/>
        <v>2</v>
      </c>
    </row>
    <row r="122" spans="1:14" x14ac:dyDescent="0.25">
      <c r="A122" s="28" t="s">
        <v>196</v>
      </c>
      <c r="B122" s="28" t="s">
        <v>197</v>
      </c>
      <c r="C122" s="71">
        <v>245471.13</v>
      </c>
      <c r="D122" s="71">
        <v>163797</v>
      </c>
      <c r="E122" s="71">
        <v>-49.86</v>
      </c>
      <c r="F122" s="71">
        <v>149.86000000000001</v>
      </c>
      <c r="G122" s="71">
        <v>-81674.13</v>
      </c>
      <c r="H122" s="68">
        <v>337256.26</v>
      </c>
      <c r="I122" s="90">
        <f>SUM(I115:I121)</f>
        <v>337256.26</v>
      </c>
      <c r="J122" s="127">
        <f>SUM(J115:J121)</f>
        <v>337256.26</v>
      </c>
      <c r="K122" s="90">
        <f>SUM(K115:K121)</f>
        <v>337256.26</v>
      </c>
    </row>
    <row r="123" spans="1:14" x14ac:dyDescent="0.25">
      <c r="A123" s="28" t="s">
        <v>198</v>
      </c>
      <c r="B123" s="28" t="s">
        <v>199</v>
      </c>
      <c r="C123" s="71">
        <v>-3568305.73</v>
      </c>
      <c r="D123" s="71">
        <v>-8242345.0199999996</v>
      </c>
      <c r="E123" s="71">
        <v>56.71</v>
      </c>
      <c r="F123" s="71">
        <v>43.29</v>
      </c>
      <c r="G123" s="71">
        <v>-4674039.29</v>
      </c>
      <c r="H123" s="68">
        <v>-6986596</v>
      </c>
      <c r="I123" s="90">
        <f>I122+I112+I107</f>
        <v>-7101964.2399999993</v>
      </c>
      <c r="J123" s="127">
        <f>J122+J112+J107</f>
        <v>-7101964.2399999993</v>
      </c>
      <c r="K123" s="90">
        <f>K122+K112+K107</f>
        <v>-7101964.2399999993</v>
      </c>
    </row>
    <row r="124" spans="1:14" x14ac:dyDescent="0.25">
      <c r="A124" s="27" t="s">
        <v>12</v>
      </c>
      <c r="B124" s="27" t="s">
        <v>12</v>
      </c>
    </row>
    <row r="125" spans="1:14" x14ac:dyDescent="0.25">
      <c r="A125" s="28" t="s">
        <v>200</v>
      </c>
      <c r="B125" s="28" t="s">
        <v>201</v>
      </c>
      <c r="C125" s="71">
        <v>-3658858.98</v>
      </c>
      <c r="D125" s="71">
        <v>-8387345.0199999996</v>
      </c>
      <c r="E125" s="71">
        <v>56.38</v>
      </c>
      <c r="F125" s="71">
        <v>43.62</v>
      </c>
      <c r="G125" s="71">
        <v>-4728486.04</v>
      </c>
      <c r="H125" s="68">
        <v>-7153450.25</v>
      </c>
      <c r="I125" s="90">
        <f>I123+I82+I77</f>
        <v>-7268818.4899999993</v>
      </c>
      <c r="J125" s="127">
        <f>J123+J82+J77</f>
        <v>-7268818.4899999993</v>
      </c>
      <c r="K125" s="90">
        <f>K123+K82+K77</f>
        <v>-7268818.4899999993</v>
      </c>
    </row>
    <row r="126" spans="1:14" x14ac:dyDescent="0.25">
      <c r="A126" s="27" t="s">
        <v>12</v>
      </c>
      <c r="B126" s="27" t="s">
        <v>12</v>
      </c>
    </row>
    <row r="127" spans="1:14" x14ac:dyDescent="0.25">
      <c r="A127" s="28" t="s">
        <v>202</v>
      </c>
      <c r="B127" s="28" t="s">
        <v>203</v>
      </c>
      <c r="C127" s="71">
        <v>1798403.6</v>
      </c>
      <c r="D127" s="71">
        <v>2440529.12</v>
      </c>
      <c r="E127" s="71">
        <v>26.31</v>
      </c>
      <c r="F127" s="71">
        <v>73.69</v>
      </c>
      <c r="G127" s="71">
        <v>642125.52</v>
      </c>
      <c r="H127" s="68">
        <v>2322810.7056021392</v>
      </c>
      <c r="I127" s="90">
        <f>I125+I65</f>
        <v>2194502.9356021406</v>
      </c>
      <c r="J127" s="127">
        <f>J125+J65</f>
        <v>3993072.5600000015</v>
      </c>
      <c r="K127" s="90">
        <f>K125+K65</f>
        <v>3993072.5600000015</v>
      </c>
    </row>
    <row r="128" spans="1:14" x14ac:dyDescent="0.25">
      <c r="A128" s="27" t="s">
        <v>12</v>
      </c>
      <c r="B128" s="27" t="s">
        <v>12</v>
      </c>
    </row>
    <row r="129" spans="1:14" x14ac:dyDescent="0.25">
      <c r="A129" s="28" t="s">
        <v>204</v>
      </c>
      <c r="B129" s="28" t="s">
        <v>205</v>
      </c>
      <c r="C129" s="71"/>
      <c r="D129" s="71"/>
      <c r="E129" s="71"/>
      <c r="F129" s="71"/>
      <c r="G129" s="71"/>
      <c r="H129" s="68"/>
      <c r="I129" s="90"/>
      <c r="J129" s="127"/>
      <c r="K129" s="90"/>
    </row>
    <row r="130" spans="1:14" x14ac:dyDescent="0.25">
      <c r="A130" s="27" t="s">
        <v>206</v>
      </c>
      <c r="B130" s="27" t="s">
        <v>207</v>
      </c>
      <c r="C130" s="70">
        <v>4235</v>
      </c>
      <c r="D130" s="70">
        <v>50000</v>
      </c>
      <c r="E130" s="70">
        <v>91.53</v>
      </c>
      <c r="F130" s="70">
        <v>8.4700000000000006</v>
      </c>
      <c r="G130" s="70">
        <v>45765</v>
      </c>
      <c r="H130" s="51">
        <v>50000</v>
      </c>
      <c r="I130" s="103">
        <v>50000</v>
      </c>
      <c r="J130" s="89">
        <f>I130*DATAARK!$B$3</f>
        <v>50000</v>
      </c>
      <c r="K130" s="89">
        <f>J130*DATAARK!$C$3</f>
        <v>50000</v>
      </c>
      <c r="N130" s="40">
        <f t="shared" ref="N130:N136" si="4">IF(J130&gt;0,0,2)</f>
        <v>0</v>
      </c>
    </row>
    <row r="131" spans="1:14" x14ac:dyDescent="0.25">
      <c r="A131" s="27" t="s">
        <v>208</v>
      </c>
      <c r="B131" s="27" t="s">
        <v>209</v>
      </c>
      <c r="C131" s="70">
        <v>6748.84</v>
      </c>
      <c r="G131" s="70">
        <v>-6748.84</v>
      </c>
      <c r="H131" s="51">
        <v>6748.84</v>
      </c>
      <c r="J131" s="89">
        <f>I131*DATAARK!$B$3</f>
        <v>0</v>
      </c>
      <c r="K131" s="89">
        <f>J131*DATAARK!$C$3</f>
        <v>0</v>
      </c>
      <c r="N131" s="40">
        <f t="shared" si="4"/>
        <v>2</v>
      </c>
    </row>
    <row r="132" spans="1:14" x14ac:dyDescent="0.25">
      <c r="A132" s="27" t="s">
        <v>210</v>
      </c>
      <c r="B132" s="27" t="s">
        <v>211</v>
      </c>
      <c r="J132" s="89">
        <f>I132*DATAARK!$B$3</f>
        <v>0</v>
      </c>
      <c r="K132" s="89">
        <f>J132*DATAARK!$C$3</f>
        <v>0</v>
      </c>
      <c r="N132" s="40">
        <f t="shared" si="4"/>
        <v>2</v>
      </c>
    </row>
    <row r="133" spans="1:14" x14ac:dyDescent="0.25">
      <c r="A133" s="27" t="s">
        <v>212</v>
      </c>
      <c r="B133" s="27" t="s">
        <v>213</v>
      </c>
      <c r="J133" s="89">
        <f>I133*DATAARK!$B$3</f>
        <v>0</v>
      </c>
      <c r="K133" s="89">
        <f>J133*DATAARK!$C$3</f>
        <v>0</v>
      </c>
      <c r="N133" s="40">
        <f t="shared" si="4"/>
        <v>2</v>
      </c>
    </row>
    <row r="134" spans="1:14" x14ac:dyDescent="0.25">
      <c r="A134" s="27" t="s">
        <v>214</v>
      </c>
      <c r="B134" s="27" t="s">
        <v>215</v>
      </c>
      <c r="J134" s="89">
        <f>I134*DATAARK!$B$3</f>
        <v>0</v>
      </c>
      <c r="K134" s="89">
        <f>J134*DATAARK!$C$3</f>
        <v>0</v>
      </c>
      <c r="N134" s="40">
        <f t="shared" si="4"/>
        <v>2</v>
      </c>
    </row>
    <row r="135" spans="1:14" x14ac:dyDescent="0.25">
      <c r="A135" s="27" t="s">
        <v>216</v>
      </c>
      <c r="B135" s="27" t="s">
        <v>217</v>
      </c>
      <c r="J135" s="89">
        <f>I135*DATAARK!$B$3</f>
        <v>0</v>
      </c>
      <c r="K135" s="89">
        <f>J135*DATAARK!$C$3</f>
        <v>0</v>
      </c>
      <c r="N135" s="40">
        <f t="shared" si="4"/>
        <v>2</v>
      </c>
    </row>
    <row r="136" spans="1:14" x14ac:dyDescent="0.25">
      <c r="A136" s="28" t="s">
        <v>218</v>
      </c>
      <c r="B136" s="28" t="s">
        <v>219</v>
      </c>
      <c r="C136" s="71">
        <v>10983.84</v>
      </c>
      <c r="D136" s="71">
        <v>50000</v>
      </c>
      <c r="E136" s="71">
        <v>78.03</v>
      </c>
      <c r="F136" s="71">
        <v>21.97</v>
      </c>
      <c r="G136" s="71">
        <v>39016.160000000003</v>
      </c>
      <c r="H136" s="68">
        <v>56748.84</v>
      </c>
      <c r="I136" s="90">
        <f>SUM(I130:I135)</f>
        <v>50000</v>
      </c>
      <c r="J136" s="127">
        <f>SUM(J130:J135)</f>
        <v>50000</v>
      </c>
      <c r="K136" s="90">
        <f>SUM(K130:K135)</f>
        <v>50000</v>
      </c>
      <c r="N136" s="40">
        <f t="shared" si="4"/>
        <v>0</v>
      </c>
    </row>
    <row r="137" spans="1:14" x14ac:dyDescent="0.25">
      <c r="A137" s="27" t="s">
        <v>12</v>
      </c>
      <c r="B137" s="27" t="s">
        <v>12</v>
      </c>
    </row>
    <row r="138" spans="1:14" x14ac:dyDescent="0.25">
      <c r="A138" s="28" t="s">
        <v>220</v>
      </c>
      <c r="B138" s="28" t="s">
        <v>221</v>
      </c>
      <c r="C138" s="71"/>
      <c r="D138" s="71"/>
      <c r="E138" s="71"/>
      <c r="F138" s="71"/>
      <c r="G138" s="71"/>
      <c r="H138" s="68"/>
      <c r="I138" s="90"/>
      <c r="J138" s="127"/>
      <c r="K138" s="90"/>
    </row>
    <row r="139" spans="1:14" x14ac:dyDescent="0.25">
      <c r="A139" s="27" t="s">
        <v>222</v>
      </c>
      <c r="B139" s="27" t="s">
        <v>223</v>
      </c>
      <c r="J139" s="89">
        <f>I139*DATAARK!$B$3</f>
        <v>0</v>
      </c>
      <c r="K139" s="89">
        <f>J139*DATAARK!$C$3</f>
        <v>0</v>
      </c>
      <c r="N139" s="40">
        <f>IF(J139&gt;0,1,0)</f>
        <v>0</v>
      </c>
    </row>
    <row r="140" spans="1:14" x14ac:dyDescent="0.25">
      <c r="A140" s="27" t="s">
        <v>224</v>
      </c>
      <c r="B140" s="27" t="s">
        <v>225</v>
      </c>
      <c r="J140" s="89">
        <f>I140*DATAARK!$B$3</f>
        <v>0</v>
      </c>
      <c r="K140" s="89">
        <f>J140*DATAARK!$C$3</f>
        <v>0</v>
      </c>
      <c r="N140" s="40">
        <f t="shared" ref="N140:N203" si="5">IF(J140&gt;0,1,0)</f>
        <v>0</v>
      </c>
    </row>
    <row r="141" spans="1:14" x14ac:dyDescent="0.25">
      <c r="A141" s="27" t="s">
        <v>226</v>
      </c>
      <c r="B141" s="27" t="s">
        <v>227</v>
      </c>
      <c r="C141" s="70">
        <v>-544230.37</v>
      </c>
      <c r="D141" s="70">
        <v>-588941.19999999995</v>
      </c>
      <c r="E141" s="70">
        <v>7.59</v>
      </c>
      <c r="F141" s="70">
        <v>92.41</v>
      </c>
      <c r="G141" s="70">
        <v>-44710.83</v>
      </c>
      <c r="H141" s="51">
        <v>-1496131.4909999997</v>
      </c>
      <c r="I141" s="103">
        <f>'Fælles adm.'!I142*-1*0.15</f>
        <v>-1263618.1259999999</v>
      </c>
      <c r="J141" s="103">
        <f>'Fælles adm.'!J142*-1*0.1673</f>
        <v>-2052093.0418450001</v>
      </c>
      <c r="K141" s="103">
        <f>'Fælles adm.'!K142*-1*0.1673</f>
        <v>-1666042.6806029999</v>
      </c>
      <c r="N141" s="40">
        <f t="shared" si="5"/>
        <v>0</v>
      </c>
    </row>
    <row r="142" spans="1:14" x14ac:dyDescent="0.25">
      <c r="A142" s="27" t="s">
        <v>228</v>
      </c>
      <c r="B142" s="27" t="s">
        <v>229</v>
      </c>
      <c r="J142" s="89">
        <f>I142*DATAARK!$B$3</f>
        <v>0</v>
      </c>
      <c r="K142" s="89">
        <f>J142*DATAARK!$C$3</f>
        <v>0</v>
      </c>
      <c r="N142" s="40">
        <f t="shared" si="5"/>
        <v>0</v>
      </c>
    </row>
    <row r="143" spans="1:14" x14ac:dyDescent="0.25">
      <c r="A143" s="27" t="s">
        <v>230</v>
      </c>
      <c r="B143" s="27" t="s">
        <v>231</v>
      </c>
      <c r="J143" s="89">
        <f>I143*DATAARK!$B$3</f>
        <v>0</v>
      </c>
      <c r="K143" s="89">
        <f>J143*DATAARK!$C$3</f>
        <v>0</v>
      </c>
      <c r="N143" s="40">
        <f t="shared" si="5"/>
        <v>0</v>
      </c>
    </row>
    <row r="144" spans="1:14" x14ac:dyDescent="0.25">
      <c r="A144" s="27" t="s">
        <v>232</v>
      </c>
      <c r="B144" s="27" t="s">
        <v>233</v>
      </c>
      <c r="C144" s="70">
        <v>-3309.48</v>
      </c>
      <c r="D144" s="70">
        <v>-24000</v>
      </c>
      <c r="E144" s="70">
        <v>86.21</v>
      </c>
      <c r="F144" s="70">
        <v>13.79</v>
      </c>
      <c r="G144" s="70">
        <v>-20690.52</v>
      </c>
      <c r="H144" s="51">
        <v>-24000</v>
      </c>
      <c r="I144" s="103">
        <v>-15000</v>
      </c>
      <c r="J144" s="89">
        <f>I144*DATAARK!$B$3</f>
        <v>-15000</v>
      </c>
      <c r="K144" s="89">
        <f>J144*DATAARK!$C$3</f>
        <v>-15000</v>
      </c>
      <c r="N144" s="40">
        <f t="shared" si="5"/>
        <v>0</v>
      </c>
    </row>
    <row r="145" spans="1:14" x14ac:dyDescent="0.25">
      <c r="A145" s="27" t="s">
        <v>234</v>
      </c>
      <c r="B145" s="27" t="s">
        <v>235</v>
      </c>
      <c r="D145" s="70">
        <v>-5000</v>
      </c>
      <c r="E145" s="70">
        <v>100</v>
      </c>
      <c r="G145" s="70">
        <v>-5000</v>
      </c>
      <c r="H145" s="51">
        <v>-5000</v>
      </c>
      <c r="I145" s="103">
        <v>-5000</v>
      </c>
      <c r="J145" s="89">
        <f>I145*DATAARK!$B$3</f>
        <v>-5000</v>
      </c>
      <c r="K145" s="89">
        <f>J145*DATAARK!$C$3</f>
        <v>-5000</v>
      </c>
      <c r="N145" s="40">
        <f t="shared" si="5"/>
        <v>0</v>
      </c>
    </row>
    <row r="146" spans="1:14" x14ac:dyDescent="0.25">
      <c r="A146" s="27" t="s">
        <v>236</v>
      </c>
      <c r="B146" s="27" t="s">
        <v>237</v>
      </c>
      <c r="D146" s="70">
        <v>-5000</v>
      </c>
      <c r="E146" s="70">
        <v>100</v>
      </c>
      <c r="G146" s="70">
        <v>-5000</v>
      </c>
      <c r="H146" s="51">
        <v>-5000</v>
      </c>
      <c r="I146" s="103">
        <v>-5000</v>
      </c>
      <c r="J146" s="89">
        <f>I146*DATAARK!$B$3</f>
        <v>-5000</v>
      </c>
      <c r="K146" s="89">
        <f>J146*DATAARK!$C$3</f>
        <v>-5000</v>
      </c>
      <c r="N146" s="40">
        <f t="shared" si="5"/>
        <v>0</v>
      </c>
    </row>
    <row r="147" spans="1:14" x14ac:dyDescent="0.25">
      <c r="A147" s="27" t="s">
        <v>238</v>
      </c>
      <c r="B147" s="27" t="s">
        <v>239</v>
      </c>
      <c r="C147" s="70">
        <v>-5768.48</v>
      </c>
      <c r="D147" s="70">
        <v>-4000</v>
      </c>
      <c r="E147" s="70">
        <v>-44.21</v>
      </c>
      <c r="F147" s="70">
        <v>144.21</v>
      </c>
      <c r="G147" s="70">
        <v>1768.48</v>
      </c>
      <c r="H147" s="51">
        <v>-5768.48</v>
      </c>
      <c r="I147" s="103">
        <v>-4000</v>
      </c>
      <c r="J147" s="89">
        <f>I147*DATAARK!$B$3</f>
        <v>-4000</v>
      </c>
      <c r="K147" s="89">
        <f>J147*DATAARK!$C$3</f>
        <v>-4000</v>
      </c>
      <c r="N147" s="40">
        <f t="shared" si="5"/>
        <v>0</v>
      </c>
    </row>
    <row r="148" spans="1:14" x14ac:dyDescent="0.25">
      <c r="A148" s="27" t="s">
        <v>240</v>
      </c>
      <c r="B148" s="27" t="s">
        <v>241</v>
      </c>
      <c r="C148" s="70">
        <v>-3477.4</v>
      </c>
      <c r="G148" s="70">
        <v>3477.4</v>
      </c>
      <c r="H148" s="51">
        <v>-3477.4</v>
      </c>
      <c r="J148" s="89">
        <f>I148*DATAARK!$B$3</f>
        <v>0</v>
      </c>
      <c r="K148" s="89">
        <f>J148*DATAARK!$C$3</f>
        <v>0</v>
      </c>
      <c r="N148" s="40">
        <f t="shared" si="5"/>
        <v>0</v>
      </c>
    </row>
    <row r="149" spans="1:14" x14ac:dyDescent="0.25">
      <c r="A149" s="27" t="s">
        <v>242</v>
      </c>
      <c r="B149" s="27" t="s">
        <v>243</v>
      </c>
      <c r="C149" s="70">
        <v>-600</v>
      </c>
      <c r="D149" s="70">
        <v>-10000</v>
      </c>
      <c r="E149" s="70">
        <v>94</v>
      </c>
      <c r="F149" s="70">
        <v>6</v>
      </c>
      <c r="G149" s="70">
        <v>-9400</v>
      </c>
      <c r="H149" s="51">
        <v>-10000</v>
      </c>
      <c r="J149" s="89">
        <f>I149*DATAARK!$B$3</f>
        <v>0</v>
      </c>
      <c r="K149" s="89">
        <f>J149*DATAARK!$C$3</f>
        <v>0</v>
      </c>
      <c r="N149" s="40">
        <f t="shared" si="5"/>
        <v>0</v>
      </c>
    </row>
    <row r="150" spans="1:14" x14ac:dyDescent="0.25">
      <c r="A150" s="27" t="s">
        <v>244</v>
      </c>
      <c r="B150" s="27" t="s">
        <v>245</v>
      </c>
      <c r="C150" s="70">
        <v>-4915.7</v>
      </c>
      <c r="D150" s="70">
        <v>-10000</v>
      </c>
      <c r="E150" s="70">
        <v>50.84</v>
      </c>
      <c r="F150" s="70">
        <v>49.16</v>
      </c>
      <c r="G150" s="70">
        <v>-5084.3</v>
      </c>
      <c r="H150" s="51">
        <v>-10000</v>
      </c>
      <c r="J150" s="89">
        <f>I150*DATAARK!$B$3</f>
        <v>0</v>
      </c>
      <c r="K150" s="89">
        <f>J150*DATAARK!$C$3</f>
        <v>0</v>
      </c>
      <c r="N150" s="40">
        <f t="shared" si="5"/>
        <v>0</v>
      </c>
    </row>
    <row r="151" spans="1:14" x14ac:dyDescent="0.25">
      <c r="A151" s="27" t="s">
        <v>246</v>
      </c>
      <c r="B151" s="27" t="s">
        <v>247</v>
      </c>
      <c r="C151" s="70">
        <v>-2833.33</v>
      </c>
      <c r="D151" s="70">
        <v>-870000</v>
      </c>
      <c r="E151" s="70">
        <v>99.67</v>
      </c>
      <c r="F151" s="70">
        <v>0.33</v>
      </c>
      <c r="G151" s="70">
        <v>-867166.67</v>
      </c>
      <c r="H151" s="51">
        <v>-20000</v>
      </c>
      <c r="J151" s="89">
        <f>I151*DATAARK!$B$3</f>
        <v>0</v>
      </c>
      <c r="K151" s="89">
        <f>J151*DATAARK!$C$3</f>
        <v>0</v>
      </c>
      <c r="N151" s="40">
        <f t="shared" si="5"/>
        <v>0</v>
      </c>
    </row>
    <row r="152" spans="1:14" x14ac:dyDescent="0.25">
      <c r="A152" s="27" t="s">
        <v>248</v>
      </c>
      <c r="B152" s="27" t="s">
        <v>249</v>
      </c>
      <c r="C152" s="70">
        <v>-2710.49</v>
      </c>
      <c r="D152" s="70">
        <v>-50000</v>
      </c>
      <c r="E152" s="70">
        <v>94.58</v>
      </c>
      <c r="F152" s="70">
        <v>5.42</v>
      </c>
      <c r="G152" s="70">
        <v>-47289.51</v>
      </c>
      <c r="H152" s="51">
        <v>-50000</v>
      </c>
      <c r="I152" s="103">
        <v>-50000</v>
      </c>
      <c r="J152" s="89">
        <v>-420000</v>
      </c>
      <c r="K152" s="89">
        <v>-100000</v>
      </c>
      <c r="N152" s="40">
        <f t="shared" si="5"/>
        <v>0</v>
      </c>
    </row>
    <row r="153" spans="1:14" x14ac:dyDescent="0.25">
      <c r="A153" s="27" t="s">
        <v>250</v>
      </c>
      <c r="B153" s="27" t="s">
        <v>251</v>
      </c>
      <c r="J153" s="89">
        <f>I153*DATAARK!$B$3</f>
        <v>0</v>
      </c>
      <c r="K153" s="89">
        <f>J153*DATAARK!$C$3</f>
        <v>0</v>
      </c>
      <c r="N153" s="40">
        <f t="shared" si="5"/>
        <v>0</v>
      </c>
    </row>
    <row r="154" spans="1:14" x14ac:dyDescent="0.25">
      <c r="A154" s="27" t="s">
        <v>252</v>
      </c>
      <c r="B154" s="27" t="s">
        <v>253</v>
      </c>
      <c r="C154" s="70">
        <v>-267.3</v>
      </c>
      <c r="G154" s="70">
        <v>267.3</v>
      </c>
      <c r="H154" s="51">
        <v>-267.3</v>
      </c>
      <c r="J154" s="89">
        <f>I154*DATAARK!$B$3</f>
        <v>0</v>
      </c>
      <c r="K154" s="89">
        <f>J154*DATAARK!$C$3</f>
        <v>0</v>
      </c>
      <c r="N154" s="40">
        <f t="shared" si="5"/>
        <v>0</v>
      </c>
    </row>
    <row r="155" spans="1:14" x14ac:dyDescent="0.25">
      <c r="A155" s="27" t="s">
        <v>254</v>
      </c>
      <c r="B155" s="27" t="s">
        <v>255</v>
      </c>
      <c r="C155" s="70">
        <v>-13340</v>
      </c>
      <c r="D155" s="70">
        <v>-25000</v>
      </c>
      <c r="E155" s="70">
        <v>46.64</v>
      </c>
      <c r="F155" s="70">
        <v>53.36</v>
      </c>
      <c r="G155" s="70">
        <v>-11660</v>
      </c>
      <c r="H155" s="51">
        <v>-25000</v>
      </c>
      <c r="J155" s="89">
        <f>I155*DATAARK!$B$3</f>
        <v>0</v>
      </c>
      <c r="K155" s="89">
        <f>J155*DATAARK!$C$3</f>
        <v>0</v>
      </c>
      <c r="N155" s="40">
        <f t="shared" si="5"/>
        <v>0</v>
      </c>
    </row>
    <row r="156" spans="1:14" x14ac:dyDescent="0.25">
      <c r="A156" s="27" t="s">
        <v>256</v>
      </c>
      <c r="B156" s="27" t="s">
        <v>257</v>
      </c>
      <c r="D156" s="70">
        <v>-8733.33</v>
      </c>
      <c r="E156" s="70">
        <v>100</v>
      </c>
      <c r="G156" s="70">
        <v>-8733.33</v>
      </c>
      <c r="H156" s="51">
        <v>-8733.33</v>
      </c>
      <c r="I156" s="103">
        <v>-8000</v>
      </c>
      <c r="J156" s="89">
        <f>I156*DATAARK!$B$3</f>
        <v>-8000</v>
      </c>
      <c r="K156" s="89">
        <f>J156*DATAARK!$C$3</f>
        <v>-8000</v>
      </c>
      <c r="N156" s="40">
        <f t="shared" si="5"/>
        <v>0</v>
      </c>
    </row>
    <row r="157" spans="1:14" x14ac:dyDescent="0.25">
      <c r="A157" s="27" t="s">
        <v>258</v>
      </c>
      <c r="B157" s="27" t="s">
        <v>259</v>
      </c>
      <c r="J157" s="89">
        <f>I157*DATAARK!$B$3</f>
        <v>0</v>
      </c>
      <c r="K157" s="89">
        <f>J157*DATAARK!$C$3</f>
        <v>0</v>
      </c>
      <c r="N157" s="40">
        <f t="shared" si="5"/>
        <v>0</v>
      </c>
    </row>
    <row r="158" spans="1:14" x14ac:dyDescent="0.25">
      <c r="A158" s="27" t="s">
        <v>260</v>
      </c>
      <c r="B158" s="27" t="s">
        <v>261</v>
      </c>
      <c r="D158" s="70">
        <v>-106559</v>
      </c>
      <c r="E158" s="70">
        <v>100</v>
      </c>
      <c r="G158" s="70">
        <v>-106559</v>
      </c>
      <c r="H158" s="51">
        <v>0</v>
      </c>
      <c r="I158" s="103">
        <v>0</v>
      </c>
      <c r="J158" s="89">
        <f>I158*DATAARK!$B$3</f>
        <v>0</v>
      </c>
      <c r="K158" s="89">
        <f>J158*DATAARK!$C$3</f>
        <v>0</v>
      </c>
      <c r="N158" s="40">
        <f t="shared" si="5"/>
        <v>0</v>
      </c>
    </row>
    <row r="159" spans="1:14" x14ac:dyDescent="0.25">
      <c r="A159" s="27" t="s">
        <v>262</v>
      </c>
      <c r="B159" s="27" t="s">
        <v>263</v>
      </c>
      <c r="C159" s="70">
        <v>-2592</v>
      </c>
      <c r="G159" s="70">
        <v>2592</v>
      </c>
      <c r="H159" s="51">
        <v>-2592</v>
      </c>
      <c r="J159" s="89">
        <f>I159*DATAARK!$B$3</f>
        <v>0</v>
      </c>
      <c r="K159" s="89">
        <f>J159*DATAARK!$C$3</f>
        <v>0</v>
      </c>
      <c r="N159" s="40">
        <f t="shared" si="5"/>
        <v>0</v>
      </c>
    </row>
    <row r="160" spans="1:14" x14ac:dyDescent="0.25">
      <c r="A160" s="27" t="s">
        <v>264</v>
      </c>
      <c r="B160" s="27" t="s">
        <v>265</v>
      </c>
      <c r="J160" s="89">
        <f>I160*DATAARK!$B$3</f>
        <v>0</v>
      </c>
      <c r="K160" s="89">
        <f>J160*DATAARK!$C$3</f>
        <v>0</v>
      </c>
      <c r="N160" s="40">
        <f t="shared" si="5"/>
        <v>0</v>
      </c>
    </row>
    <row r="161" spans="1:14" x14ac:dyDescent="0.25">
      <c r="A161" s="27" t="s">
        <v>266</v>
      </c>
      <c r="B161" s="27" t="s">
        <v>267</v>
      </c>
      <c r="J161" s="89">
        <f>I161*DATAARK!$B$3</f>
        <v>0</v>
      </c>
      <c r="K161" s="89">
        <f>J161*DATAARK!$C$3</f>
        <v>0</v>
      </c>
      <c r="N161" s="40">
        <f t="shared" si="5"/>
        <v>0</v>
      </c>
    </row>
    <row r="162" spans="1:14" x14ac:dyDescent="0.25">
      <c r="A162" s="27" t="s">
        <v>268</v>
      </c>
      <c r="B162" s="27" t="s">
        <v>269</v>
      </c>
      <c r="C162" s="70">
        <v>-40665.339999999997</v>
      </c>
      <c r="D162" s="70">
        <v>-110000</v>
      </c>
      <c r="E162" s="70">
        <v>63.03</v>
      </c>
      <c r="F162" s="70">
        <v>36.97</v>
      </c>
      <c r="G162" s="70">
        <v>-69334.66</v>
      </c>
      <c r="H162" s="51">
        <v>-110000</v>
      </c>
      <c r="J162" s="89">
        <f>I162*DATAARK!$B$3</f>
        <v>0</v>
      </c>
      <c r="K162" s="89">
        <f>J162*DATAARK!$C$3</f>
        <v>0</v>
      </c>
      <c r="N162" s="40">
        <f t="shared" si="5"/>
        <v>0</v>
      </c>
    </row>
    <row r="163" spans="1:14" x14ac:dyDescent="0.25">
      <c r="A163" s="27" t="s">
        <v>270</v>
      </c>
      <c r="B163" s="27" t="s">
        <v>271</v>
      </c>
      <c r="C163" s="70">
        <v>-22378.400000000001</v>
      </c>
      <c r="D163" s="70">
        <v>-120000</v>
      </c>
      <c r="E163" s="70">
        <v>81.349999999999994</v>
      </c>
      <c r="F163" s="70">
        <v>18.649999999999999</v>
      </c>
      <c r="G163" s="70">
        <v>-97621.6</v>
      </c>
      <c r="H163" s="51">
        <v>-90000</v>
      </c>
      <c r="J163" s="89">
        <f>I163*DATAARK!$B$3</f>
        <v>0</v>
      </c>
      <c r="K163" s="89">
        <f>J163*DATAARK!$C$3</f>
        <v>0</v>
      </c>
      <c r="N163" s="40">
        <f t="shared" si="5"/>
        <v>0</v>
      </c>
    </row>
    <row r="164" spans="1:14" x14ac:dyDescent="0.25">
      <c r="A164" s="27" t="s">
        <v>272</v>
      </c>
      <c r="B164" s="27" t="s">
        <v>273</v>
      </c>
      <c r="C164" s="70">
        <v>-2916.13</v>
      </c>
      <c r="D164" s="70">
        <v>-16000</v>
      </c>
      <c r="E164" s="70">
        <v>81.77</v>
      </c>
      <c r="F164" s="70">
        <v>18.23</v>
      </c>
      <c r="G164" s="70">
        <v>-13083.87</v>
      </c>
      <c r="H164" s="51">
        <v>-16000</v>
      </c>
      <c r="J164" s="89">
        <f>I164*DATAARK!$B$3</f>
        <v>0</v>
      </c>
      <c r="K164" s="89">
        <f>J164*DATAARK!$C$3</f>
        <v>0</v>
      </c>
      <c r="N164" s="40">
        <f t="shared" si="5"/>
        <v>0</v>
      </c>
    </row>
    <row r="165" spans="1:14" x14ac:dyDescent="0.25">
      <c r="A165" s="27" t="s">
        <v>274</v>
      </c>
      <c r="B165" s="27" t="s">
        <v>275</v>
      </c>
      <c r="C165" s="70">
        <v>-6490.67</v>
      </c>
      <c r="D165" s="70">
        <v>-15000</v>
      </c>
      <c r="E165" s="70">
        <v>56.73</v>
      </c>
      <c r="F165" s="70">
        <v>43.27</v>
      </c>
      <c r="G165" s="70">
        <v>-8509.33</v>
      </c>
      <c r="H165" s="51">
        <v>-15000</v>
      </c>
      <c r="J165" s="89">
        <f>I165*DATAARK!$B$3</f>
        <v>0</v>
      </c>
      <c r="K165" s="89">
        <f>J165*DATAARK!$C$3</f>
        <v>0</v>
      </c>
      <c r="N165" s="40">
        <f t="shared" si="5"/>
        <v>0</v>
      </c>
    </row>
    <row r="166" spans="1:14" x14ac:dyDescent="0.25">
      <c r="A166" s="27" t="s">
        <v>276</v>
      </c>
      <c r="B166" s="27" t="s">
        <v>277</v>
      </c>
      <c r="J166" s="89">
        <f>I166*DATAARK!$B$3</f>
        <v>0</v>
      </c>
      <c r="K166" s="89">
        <f>J166*DATAARK!$C$3</f>
        <v>0</v>
      </c>
      <c r="N166" s="40">
        <f t="shared" si="5"/>
        <v>0</v>
      </c>
    </row>
    <row r="167" spans="1:14" x14ac:dyDescent="0.25">
      <c r="A167" s="27" t="s">
        <v>278</v>
      </c>
      <c r="B167" s="27" t="s">
        <v>279</v>
      </c>
      <c r="J167" s="89">
        <f>I167*DATAARK!$B$3</f>
        <v>0</v>
      </c>
      <c r="K167" s="89">
        <f>J167*DATAARK!$C$3</f>
        <v>0</v>
      </c>
      <c r="N167" s="40">
        <f t="shared" si="5"/>
        <v>0</v>
      </c>
    </row>
    <row r="168" spans="1:14" x14ac:dyDescent="0.25">
      <c r="A168" s="27" t="s">
        <v>280</v>
      </c>
      <c r="B168" s="27" t="s">
        <v>281</v>
      </c>
      <c r="C168" s="70">
        <v>-15886</v>
      </c>
      <c r="D168" s="70">
        <v>-10000</v>
      </c>
      <c r="E168" s="70">
        <v>-58.86</v>
      </c>
      <c r="F168" s="70">
        <v>158.86000000000001</v>
      </c>
      <c r="G168" s="70">
        <v>5886</v>
      </c>
      <c r="H168" s="51">
        <v>-10000</v>
      </c>
      <c r="I168" s="103">
        <v>-10000</v>
      </c>
      <c r="J168" s="89">
        <f>I168*DATAARK!$B$3</f>
        <v>-10000</v>
      </c>
      <c r="K168" s="89">
        <f>J168*DATAARK!$C$3</f>
        <v>-10000</v>
      </c>
      <c r="N168" s="40">
        <f t="shared" si="5"/>
        <v>0</v>
      </c>
    </row>
    <row r="169" spans="1:14" x14ac:dyDescent="0.25">
      <c r="A169" s="27" t="s">
        <v>282</v>
      </c>
      <c r="B169" s="27" t="s">
        <v>283</v>
      </c>
      <c r="C169" s="70">
        <v>-21047.47</v>
      </c>
      <c r="D169" s="70">
        <v>-50000</v>
      </c>
      <c r="E169" s="70">
        <v>57.91</v>
      </c>
      <c r="F169" s="70">
        <v>42.09</v>
      </c>
      <c r="G169" s="70">
        <v>-28952.53</v>
      </c>
      <c r="H169" s="51">
        <v>-50000</v>
      </c>
      <c r="J169" s="89">
        <f>I169*DATAARK!$B$3</f>
        <v>0</v>
      </c>
      <c r="K169" s="89">
        <f>J169*DATAARK!$C$3</f>
        <v>0</v>
      </c>
      <c r="N169" s="40">
        <f t="shared" si="5"/>
        <v>0</v>
      </c>
    </row>
    <row r="170" spans="1:14" x14ac:dyDescent="0.25">
      <c r="A170" s="27" t="s">
        <v>284</v>
      </c>
      <c r="B170" s="27" t="s">
        <v>285</v>
      </c>
      <c r="J170" s="89">
        <f>I170*DATAARK!$B$3</f>
        <v>0</v>
      </c>
      <c r="K170" s="89">
        <f>J170*DATAARK!$C$3</f>
        <v>0</v>
      </c>
      <c r="N170" s="40">
        <f t="shared" si="5"/>
        <v>0</v>
      </c>
    </row>
    <row r="171" spans="1:14" x14ac:dyDescent="0.25">
      <c r="A171" s="27" t="s">
        <v>286</v>
      </c>
      <c r="B171" s="27" t="s">
        <v>287</v>
      </c>
      <c r="J171" s="89">
        <f>I171*DATAARK!$B$3</f>
        <v>0</v>
      </c>
      <c r="K171" s="89">
        <f>J171*DATAARK!$C$3</f>
        <v>0</v>
      </c>
      <c r="N171" s="40">
        <f t="shared" si="5"/>
        <v>0</v>
      </c>
    </row>
    <row r="172" spans="1:14" x14ac:dyDescent="0.25">
      <c r="A172" s="27" t="s">
        <v>288</v>
      </c>
      <c r="B172" s="27" t="s">
        <v>289</v>
      </c>
      <c r="J172" s="89">
        <f>I172*DATAARK!$B$3</f>
        <v>0</v>
      </c>
      <c r="K172" s="89">
        <f>J172*DATAARK!$C$3</f>
        <v>0</v>
      </c>
      <c r="N172" s="40">
        <f t="shared" si="5"/>
        <v>0</v>
      </c>
    </row>
    <row r="173" spans="1:14" x14ac:dyDescent="0.25">
      <c r="A173" s="27" t="s">
        <v>290</v>
      </c>
      <c r="B173" s="27" t="s">
        <v>291</v>
      </c>
      <c r="D173" s="70">
        <v>-10000</v>
      </c>
      <c r="E173" s="70">
        <v>100</v>
      </c>
      <c r="G173" s="70">
        <v>-10000</v>
      </c>
      <c r="H173" s="51">
        <v>-10000</v>
      </c>
      <c r="I173" s="103">
        <v>-10000</v>
      </c>
      <c r="J173" s="89">
        <f>I173*DATAARK!$B$3</f>
        <v>-10000</v>
      </c>
      <c r="K173" s="89">
        <f>J173*DATAARK!$C$3</f>
        <v>-10000</v>
      </c>
      <c r="N173" s="40">
        <f t="shared" si="5"/>
        <v>0</v>
      </c>
    </row>
    <row r="174" spans="1:14" x14ac:dyDescent="0.25">
      <c r="A174" s="27" t="s">
        <v>292</v>
      </c>
      <c r="B174" s="27" t="s">
        <v>293</v>
      </c>
      <c r="C174" s="70">
        <v>-10022.94</v>
      </c>
      <c r="D174" s="70">
        <v>-20000</v>
      </c>
      <c r="E174" s="70">
        <v>49.89</v>
      </c>
      <c r="F174" s="70">
        <v>50.11</v>
      </c>
      <c r="G174" s="70">
        <v>-9977.06</v>
      </c>
      <c r="H174" s="51">
        <v>-20000</v>
      </c>
      <c r="I174" s="103">
        <v>-20000</v>
      </c>
      <c r="J174" s="89">
        <f>I174*DATAARK!$B$3</f>
        <v>-20000</v>
      </c>
      <c r="K174" s="89">
        <f>J174*DATAARK!$C$3</f>
        <v>-20000</v>
      </c>
      <c r="N174" s="40">
        <f t="shared" si="5"/>
        <v>0</v>
      </c>
    </row>
    <row r="175" spans="1:14" x14ac:dyDescent="0.25">
      <c r="A175" s="27" t="s">
        <v>294</v>
      </c>
      <c r="B175" s="27" t="s">
        <v>295</v>
      </c>
      <c r="C175" s="70">
        <v>-172655.8</v>
      </c>
      <c r="G175" s="70">
        <v>172655.8</v>
      </c>
      <c r="H175" s="51">
        <v>-239.19999999998254</v>
      </c>
      <c r="J175" s="89">
        <f>I175*DATAARK!$B$3</f>
        <v>0</v>
      </c>
      <c r="K175" s="89">
        <f>J175*DATAARK!$C$3</f>
        <v>0</v>
      </c>
      <c r="N175" s="40">
        <f t="shared" si="5"/>
        <v>0</v>
      </c>
    </row>
    <row r="176" spans="1:14" x14ac:dyDescent="0.25">
      <c r="A176" s="27" t="s">
        <v>296</v>
      </c>
      <c r="B176" s="27" t="s">
        <v>297</v>
      </c>
      <c r="D176" s="70">
        <v>-1000</v>
      </c>
      <c r="E176" s="70">
        <v>100</v>
      </c>
      <c r="G176" s="70">
        <v>-1000</v>
      </c>
      <c r="H176" s="51">
        <v>-1000</v>
      </c>
      <c r="I176" s="103">
        <v>-1000</v>
      </c>
      <c r="J176" s="89">
        <f>I176*DATAARK!$B$3</f>
        <v>-1000</v>
      </c>
      <c r="K176" s="89">
        <f>J176*DATAARK!$C$3</f>
        <v>-1000</v>
      </c>
      <c r="N176" s="40">
        <f t="shared" si="5"/>
        <v>0</v>
      </c>
    </row>
    <row r="177" spans="1:14" x14ac:dyDescent="0.25">
      <c r="A177" s="27" t="s">
        <v>298</v>
      </c>
      <c r="B177" s="27" t="s">
        <v>299</v>
      </c>
      <c r="C177" s="70">
        <v>-44968.45</v>
      </c>
      <c r="D177" s="70">
        <v>-140000</v>
      </c>
      <c r="E177" s="70">
        <v>67.88</v>
      </c>
      <c r="F177" s="70">
        <v>32.119999999999997</v>
      </c>
      <c r="G177" s="70">
        <v>-95031.55</v>
      </c>
      <c r="H177" s="51">
        <v>-140000</v>
      </c>
      <c r="I177" s="103">
        <v>-140000</v>
      </c>
      <c r="J177" s="89">
        <f>I177*DATAARK!$B$3</f>
        <v>-140000</v>
      </c>
      <c r="K177" s="89">
        <f>J177*DATAARK!$C$3</f>
        <v>-140000</v>
      </c>
      <c r="N177" s="40">
        <f t="shared" si="5"/>
        <v>0</v>
      </c>
    </row>
    <row r="178" spans="1:14" x14ac:dyDescent="0.25">
      <c r="A178" s="27" t="s">
        <v>300</v>
      </c>
      <c r="B178" s="27" t="s">
        <v>301</v>
      </c>
      <c r="D178" s="70">
        <v>-4000</v>
      </c>
      <c r="E178" s="70">
        <v>100</v>
      </c>
      <c r="G178" s="70">
        <v>-4000</v>
      </c>
      <c r="H178" s="51">
        <v>-4000</v>
      </c>
      <c r="I178" s="103">
        <v>-4000</v>
      </c>
      <c r="J178" s="89">
        <f>I178*DATAARK!$B$3</f>
        <v>-4000</v>
      </c>
      <c r="K178" s="89">
        <f>J178*DATAARK!$C$3</f>
        <v>-4000</v>
      </c>
      <c r="N178" s="40">
        <f t="shared" si="5"/>
        <v>0</v>
      </c>
    </row>
    <row r="179" spans="1:14" x14ac:dyDescent="0.25">
      <c r="A179" s="27" t="s">
        <v>302</v>
      </c>
      <c r="B179" s="27" t="s">
        <v>303</v>
      </c>
      <c r="C179" s="70">
        <v>-6084.94</v>
      </c>
      <c r="G179" s="70">
        <v>6084.94</v>
      </c>
      <c r="H179" s="51">
        <v>-6084.94</v>
      </c>
      <c r="J179" s="89">
        <f>I179*DATAARK!$B$3</f>
        <v>0</v>
      </c>
      <c r="K179" s="89">
        <f>J179*DATAARK!$C$3</f>
        <v>0</v>
      </c>
      <c r="N179" s="40">
        <f t="shared" si="5"/>
        <v>0</v>
      </c>
    </row>
    <row r="180" spans="1:14" x14ac:dyDescent="0.25">
      <c r="A180" s="27" t="s">
        <v>304</v>
      </c>
      <c r="B180" s="27" t="s">
        <v>305</v>
      </c>
      <c r="D180" s="70">
        <v>-10000</v>
      </c>
      <c r="E180" s="70">
        <v>100</v>
      </c>
      <c r="G180" s="70">
        <v>-10000</v>
      </c>
      <c r="H180" s="51">
        <v>-5000</v>
      </c>
      <c r="I180" s="103">
        <v>-5000</v>
      </c>
      <c r="J180" s="89">
        <f>I180*DATAARK!$B$3</f>
        <v>-5000</v>
      </c>
      <c r="K180" s="89">
        <f>J180*DATAARK!$C$3</f>
        <v>-5000</v>
      </c>
      <c r="N180" s="40">
        <f t="shared" si="5"/>
        <v>0</v>
      </c>
    </row>
    <row r="181" spans="1:14" x14ac:dyDescent="0.25">
      <c r="A181" s="27" t="s">
        <v>306</v>
      </c>
      <c r="B181" s="27" t="s">
        <v>307</v>
      </c>
      <c r="J181" s="89">
        <f>I181*DATAARK!$B$3</f>
        <v>0</v>
      </c>
      <c r="K181" s="89">
        <f>J181*DATAARK!$C$3</f>
        <v>0</v>
      </c>
      <c r="N181" s="40">
        <f t="shared" si="5"/>
        <v>0</v>
      </c>
    </row>
    <row r="182" spans="1:14" x14ac:dyDescent="0.25">
      <c r="A182" s="27" t="s">
        <v>308</v>
      </c>
      <c r="B182" s="27" t="s">
        <v>309</v>
      </c>
      <c r="C182" s="70">
        <v>-400</v>
      </c>
      <c r="D182" s="70">
        <v>-20000</v>
      </c>
      <c r="E182" s="70">
        <v>98</v>
      </c>
      <c r="F182" s="70">
        <v>2</v>
      </c>
      <c r="G182" s="70">
        <v>-19600</v>
      </c>
      <c r="H182" s="51">
        <v>-20000</v>
      </c>
      <c r="I182" s="103">
        <v>-20000</v>
      </c>
      <c r="J182" s="89">
        <f>I182*DATAARK!$B$3</f>
        <v>-20000</v>
      </c>
      <c r="K182" s="89">
        <f>J182*DATAARK!$C$3</f>
        <v>-20000</v>
      </c>
      <c r="N182" s="40">
        <f t="shared" si="5"/>
        <v>0</v>
      </c>
    </row>
    <row r="183" spans="1:14" x14ac:dyDescent="0.25">
      <c r="A183" s="27" t="s">
        <v>310</v>
      </c>
      <c r="B183" s="27" t="s">
        <v>311</v>
      </c>
      <c r="J183" s="89">
        <f>I183*DATAARK!$B$3</f>
        <v>0</v>
      </c>
      <c r="K183" s="89">
        <f>J183*DATAARK!$C$3</f>
        <v>0</v>
      </c>
      <c r="N183" s="40">
        <f t="shared" si="5"/>
        <v>0</v>
      </c>
    </row>
    <row r="184" spans="1:14" x14ac:dyDescent="0.25">
      <c r="A184" s="27" t="s">
        <v>312</v>
      </c>
      <c r="B184" s="27" t="s">
        <v>313</v>
      </c>
      <c r="C184" s="70">
        <v>-5240.6099999999997</v>
      </c>
      <c r="D184" s="70">
        <v>-43666.67</v>
      </c>
      <c r="E184" s="70">
        <v>88</v>
      </c>
      <c r="F184" s="70">
        <v>12</v>
      </c>
      <c r="G184" s="70">
        <v>-38426.06</v>
      </c>
      <c r="H184" s="51">
        <v>-43666.67</v>
      </c>
      <c r="I184" s="103">
        <v>-43666.67</v>
      </c>
      <c r="J184" s="89">
        <f>I184*DATAARK!$B$3</f>
        <v>-43666.67</v>
      </c>
      <c r="K184" s="89">
        <f>J184*DATAARK!$C$3</f>
        <v>-43666.67</v>
      </c>
      <c r="N184" s="40">
        <f t="shared" si="5"/>
        <v>0</v>
      </c>
    </row>
    <row r="185" spans="1:14" x14ac:dyDescent="0.25">
      <c r="A185" s="27" t="s">
        <v>314</v>
      </c>
      <c r="B185" s="27" t="s">
        <v>315</v>
      </c>
      <c r="C185" s="70">
        <v>-2394</v>
      </c>
      <c r="D185" s="70">
        <v>-45000</v>
      </c>
      <c r="E185" s="70">
        <v>94.68</v>
      </c>
      <c r="F185" s="70">
        <v>5.32</v>
      </c>
      <c r="G185" s="70">
        <v>-42606</v>
      </c>
      <c r="H185" s="51">
        <v>-45000</v>
      </c>
      <c r="I185" s="103">
        <v>-25000</v>
      </c>
      <c r="J185" s="89">
        <f>I185*DATAARK!$B$3</f>
        <v>-25000</v>
      </c>
      <c r="K185" s="89">
        <f>J185*DATAARK!$C$3</f>
        <v>-25000</v>
      </c>
      <c r="N185" s="40">
        <f t="shared" si="5"/>
        <v>0</v>
      </c>
    </row>
    <row r="186" spans="1:14" x14ac:dyDescent="0.25">
      <c r="A186" s="27" t="s">
        <v>316</v>
      </c>
      <c r="B186" s="27" t="s">
        <v>317</v>
      </c>
      <c r="C186" s="70">
        <v>-1818.3</v>
      </c>
      <c r="D186" s="70">
        <v>-15000</v>
      </c>
      <c r="E186" s="70">
        <v>87.88</v>
      </c>
      <c r="F186" s="70">
        <v>12.12</v>
      </c>
      <c r="G186" s="70">
        <v>-13181.7</v>
      </c>
      <c r="H186" s="51">
        <v>-15000</v>
      </c>
      <c r="I186" s="103">
        <v>-15000</v>
      </c>
      <c r="J186" s="89">
        <f>I186*DATAARK!$B$3</f>
        <v>-15000</v>
      </c>
      <c r="K186" s="89">
        <f>J186*DATAARK!$C$3</f>
        <v>-15000</v>
      </c>
      <c r="N186" s="40">
        <f t="shared" si="5"/>
        <v>0</v>
      </c>
    </row>
    <row r="187" spans="1:14" x14ac:dyDescent="0.25">
      <c r="A187" s="27" t="s">
        <v>318</v>
      </c>
      <c r="B187" s="27" t="s">
        <v>319</v>
      </c>
      <c r="C187" s="70">
        <v>-767.9</v>
      </c>
      <c r="D187" s="70">
        <v>-250000</v>
      </c>
      <c r="E187" s="70">
        <v>99.69</v>
      </c>
      <c r="F187" s="70">
        <v>0.31</v>
      </c>
      <c r="G187" s="70">
        <v>-249232.1</v>
      </c>
      <c r="H187" s="51">
        <v>-250000</v>
      </c>
      <c r="I187" s="103">
        <v>-250000</v>
      </c>
      <c r="J187" s="89">
        <f>I187*DATAARK!$B$3</f>
        <v>-250000</v>
      </c>
      <c r="K187" s="89">
        <f>J187*DATAARK!$C$3+200000</f>
        <v>-50000</v>
      </c>
      <c r="N187" s="40">
        <f t="shared" si="5"/>
        <v>0</v>
      </c>
    </row>
    <row r="188" spans="1:14" x14ac:dyDescent="0.25">
      <c r="A188" s="27" t="s">
        <v>320</v>
      </c>
      <c r="B188" s="27" t="s">
        <v>321</v>
      </c>
      <c r="C188" s="70">
        <v>-9669.67</v>
      </c>
      <c r="D188" s="70">
        <v>-34933.33</v>
      </c>
      <c r="E188" s="70">
        <v>72.319999999999993</v>
      </c>
      <c r="F188" s="70">
        <v>27.68</v>
      </c>
      <c r="G188" s="70">
        <v>-25263.66</v>
      </c>
      <c r="H188" s="51">
        <v>-34933.33</v>
      </c>
      <c r="I188" s="103">
        <v>-32000</v>
      </c>
      <c r="J188" s="89">
        <f>I188*DATAARK!$B$3</f>
        <v>-32000</v>
      </c>
      <c r="K188" s="89">
        <f>J188*DATAARK!$C$3</f>
        <v>-32000</v>
      </c>
      <c r="N188" s="40">
        <f t="shared" si="5"/>
        <v>0</v>
      </c>
    </row>
    <row r="189" spans="1:14" x14ac:dyDescent="0.25">
      <c r="A189" s="27" t="s">
        <v>322</v>
      </c>
      <c r="B189" s="27" t="s">
        <v>323</v>
      </c>
      <c r="C189" s="70">
        <v>-52390.1</v>
      </c>
      <c r="D189" s="70">
        <v>-550000</v>
      </c>
      <c r="E189" s="70">
        <v>90.47</v>
      </c>
      <c r="F189" s="70">
        <v>9.5299999999999994</v>
      </c>
      <c r="G189" s="70">
        <v>-497609.9</v>
      </c>
      <c r="H189" s="51">
        <v>-550000</v>
      </c>
      <c r="I189" s="103">
        <v>-500000</v>
      </c>
      <c r="J189" s="89">
        <f>I189*DATAARK!$B$3</f>
        <v>-500000</v>
      </c>
      <c r="K189" s="89">
        <f>J189*DATAARK!$C$3</f>
        <v>-500000</v>
      </c>
      <c r="N189" s="40">
        <f t="shared" si="5"/>
        <v>0</v>
      </c>
    </row>
    <row r="190" spans="1:14" x14ac:dyDescent="0.25">
      <c r="A190" s="27" t="s">
        <v>324</v>
      </c>
      <c r="B190" s="27" t="s">
        <v>325</v>
      </c>
      <c r="J190" s="89">
        <f>I190*DATAARK!$B$3</f>
        <v>0</v>
      </c>
      <c r="K190" s="89">
        <f>J190*DATAARK!$C$3</f>
        <v>0</v>
      </c>
      <c r="N190" s="40">
        <f t="shared" si="5"/>
        <v>0</v>
      </c>
    </row>
    <row r="191" spans="1:14" x14ac:dyDescent="0.25">
      <c r="A191" s="27" t="s">
        <v>326</v>
      </c>
      <c r="B191" s="27" t="s">
        <v>327</v>
      </c>
      <c r="J191" s="89">
        <f>I191*DATAARK!$B$3</f>
        <v>0</v>
      </c>
      <c r="K191" s="89">
        <f>J191*DATAARK!$C$3</f>
        <v>0</v>
      </c>
      <c r="N191" s="40">
        <f t="shared" si="5"/>
        <v>0</v>
      </c>
    </row>
    <row r="192" spans="1:14" x14ac:dyDescent="0.25">
      <c r="A192" s="27" t="s">
        <v>328</v>
      </c>
      <c r="B192" s="27" t="s">
        <v>329</v>
      </c>
      <c r="D192" s="70">
        <v>-77000</v>
      </c>
      <c r="E192" s="70">
        <v>100</v>
      </c>
      <c r="G192" s="70">
        <v>-77000</v>
      </c>
      <c r="H192" s="51">
        <v>-77000</v>
      </c>
      <c r="J192" s="89">
        <f>I192*DATAARK!$B$3</f>
        <v>0</v>
      </c>
      <c r="K192" s="89">
        <f>J192*DATAARK!$C$3</f>
        <v>0</v>
      </c>
      <c r="N192" s="40">
        <f t="shared" si="5"/>
        <v>0</v>
      </c>
    </row>
    <row r="193" spans="1:14" x14ac:dyDescent="0.25">
      <c r="A193" s="27" t="s">
        <v>330</v>
      </c>
      <c r="B193" s="27" t="s">
        <v>331</v>
      </c>
      <c r="C193" s="70">
        <v>-470.73</v>
      </c>
      <c r="D193" s="70">
        <v>-100000</v>
      </c>
      <c r="E193" s="70">
        <v>99.53</v>
      </c>
      <c r="F193" s="70">
        <v>0.47</v>
      </c>
      <c r="G193" s="70">
        <v>-99529.27</v>
      </c>
      <c r="H193" s="51">
        <v>-100000</v>
      </c>
      <c r="I193" s="103">
        <v>-100000</v>
      </c>
      <c r="J193" s="89">
        <f>I193*DATAARK!$B$3</f>
        <v>-100000</v>
      </c>
      <c r="K193" s="89">
        <f>J193*DATAARK!$C$3</f>
        <v>-100000</v>
      </c>
      <c r="N193" s="40">
        <f t="shared" si="5"/>
        <v>0</v>
      </c>
    </row>
    <row r="194" spans="1:14" x14ac:dyDescent="0.25">
      <c r="A194" s="27" t="s">
        <v>332</v>
      </c>
      <c r="B194" s="27" t="s">
        <v>333</v>
      </c>
      <c r="J194" s="89">
        <f>I194*DATAARK!$B$3</f>
        <v>0</v>
      </c>
      <c r="K194" s="89">
        <f>J194*DATAARK!$C$3</f>
        <v>0</v>
      </c>
      <c r="N194" s="40">
        <f t="shared" si="5"/>
        <v>0</v>
      </c>
    </row>
    <row r="195" spans="1:14" x14ac:dyDescent="0.25">
      <c r="A195" s="27" t="s">
        <v>334</v>
      </c>
      <c r="B195" s="27" t="s">
        <v>335</v>
      </c>
      <c r="J195" s="89">
        <f>I195*DATAARK!$B$3</f>
        <v>0</v>
      </c>
      <c r="K195" s="89">
        <f>J195*DATAARK!$C$3</f>
        <v>0</v>
      </c>
      <c r="N195" s="40">
        <f t="shared" si="5"/>
        <v>0</v>
      </c>
    </row>
    <row r="196" spans="1:14" x14ac:dyDescent="0.25">
      <c r="A196" s="27" t="s">
        <v>336</v>
      </c>
      <c r="B196" s="27" t="s">
        <v>337</v>
      </c>
      <c r="J196" s="89">
        <f>I196*DATAARK!$B$3</f>
        <v>0</v>
      </c>
      <c r="K196" s="89">
        <f>J196*DATAARK!$C$3</f>
        <v>0</v>
      </c>
      <c r="N196" s="40">
        <f t="shared" si="5"/>
        <v>0</v>
      </c>
    </row>
    <row r="197" spans="1:14" x14ac:dyDescent="0.25">
      <c r="A197" s="27" t="s">
        <v>338</v>
      </c>
      <c r="B197" s="27" t="s">
        <v>339</v>
      </c>
      <c r="J197" s="89">
        <f>I197*DATAARK!$B$3</f>
        <v>0</v>
      </c>
      <c r="K197" s="89">
        <f>J197*DATAARK!$C$3</f>
        <v>0</v>
      </c>
      <c r="N197" s="40">
        <f t="shared" si="5"/>
        <v>0</v>
      </c>
    </row>
    <row r="198" spans="1:14" x14ac:dyDescent="0.25">
      <c r="A198" s="28" t="s">
        <v>340</v>
      </c>
      <c r="B198" s="28" t="s">
        <v>341</v>
      </c>
      <c r="C198" s="71">
        <v>-1000312</v>
      </c>
      <c r="D198" s="71">
        <v>-3348833.53</v>
      </c>
      <c r="E198" s="71">
        <v>70.13</v>
      </c>
      <c r="F198" s="71">
        <v>29.87</v>
      </c>
      <c r="G198" s="71">
        <v>-2348521.5299999998</v>
      </c>
      <c r="H198" s="68">
        <v>-3278894.1409999994</v>
      </c>
      <c r="I198" s="90">
        <f>SUM(I139:I197)</f>
        <v>-2526284.7960000001</v>
      </c>
      <c r="J198" s="127">
        <f>SUM(J139:J197)</f>
        <v>-3684759.7118450003</v>
      </c>
      <c r="K198" s="90">
        <f>SUM(K139:K197)</f>
        <v>-2778709.3506029998</v>
      </c>
      <c r="N198" s="40">
        <f t="shared" si="5"/>
        <v>0</v>
      </c>
    </row>
    <row r="199" spans="1:14" x14ac:dyDescent="0.25">
      <c r="A199" s="27" t="s">
        <v>12</v>
      </c>
      <c r="B199" s="27" t="s">
        <v>12</v>
      </c>
      <c r="N199" s="40">
        <f t="shared" si="5"/>
        <v>0</v>
      </c>
    </row>
    <row r="200" spans="1:14" x14ac:dyDescent="0.25">
      <c r="A200" s="28" t="s">
        <v>342</v>
      </c>
      <c r="B200" s="28" t="s">
        <v>343</v>
      </c>
      <c r="C200" s="71"/>
      <c r="D200" s="71"/>
      <c r="E200" s="71"/>
      <c r="F200" s="71"/>
      <c r="G200" s="71"/>
      <c r="H200" s="68"/>
      <c r="I200" s="90"/>
      <c r="J200" s="127"/>
      <c r="K200" s="90"/>
      <c r="N200" s="40">
        <f t="shared" si="5"/>
        <v>0</v>
      </c>
    </row>
    <row r="201" spans="1:14" x14ac:dyDescent="0.25">
      <c r="A201" s="27" t="s">
        <v>344</v>
      </c>
      <c r="B201" s="27" t="s">
        <v>345</v>
      </c>
      <c r="J201" s="89">
        <f>I201*DATAARK!$B$3</f>
        <v>0</v>
      </c>
      <c r="K201" s="89">
        <f>J201*DATAARK!$C$3</f>
        <v>0</v>
      </c>
      <c r="N201" s="40">
        <f t="shared" si="5"/>
        <v>0</v>
      </c>
    </row>
    <row r="202" spans="1:14" x14ac:dyDescent="0.25">
      <c r="A202" s="27" t="s">
        <v>346</v>
      </c>
      <c r="B202" s="27" t="s">
        <v>347</v>
      </c>
      <c r="J202" s="89">
        <f>I202*DATAARK!$B$3</f>
        <v>0</v>
      </c>
      <c r="K202" s="89">
        <f>J202*DATAARK!$C$3</f>
        <v>0</v>
      </c>
      <c r="N202" s="40">
        <f t="shared" si="5"/>
        <v>0</v>
      </c>
    </row>
    <row r="203" spans="1:14" x14ac:dyDescent="0.25">
      <c r="A203" s="27" t="s">
        <v>348</v>
      </c>
      <c r="B203" s="27" t="s">
        <v>349</v>
      </c>
      <c r="J203" s="89">
        <f>I203*DATAARK!$B$3</f>
        <v>0</v>
      </c>
      <c r="K203" s="89">
        <f>J203*DATAARK!$C$3</f>
        <v>0</v>
      </c>
      <c r="N203" s="40">
        <f t="shared" si="5"/>
        <v>0</v>
      </c>
    </row>
    <row r="204" spans="1:14" x14ac:dyDescent="0.25">
      <c r="A204" s="27" t="s">
        <v>350</v>
      </c>
      <c r="B204" s="27" t="s">
        <v>351</v>
      </c>
      <c r="J204" s="89">
        <f>I204*DATAARK!$B$3</f>
        <v>0</v>
      </c>
      <c r="K204" s="89">
        <f>J204*DATAARK!$C$3</f>
        <v>0</v>
      </c>
      <c r="N204" s="40">
        <f t="shared" ref="N204:N245" si="6">IF(J204&gt;0,1,0)</f>
        <v>0</v>
      </c>
    </row>
    <row r="205" spans="1:14" x14ac:dyDescent="0.25">
      <c r="A205" s="27" t="s">
        <v>352</v>
      </c>
      <c r="B205" s="27" t="s">
        <v>353</v>
      </c>
      <c r="J205" s="89">
        <f>I205*DATAARK!$B$3</f>
        <v>0</v>
      </c>
      <c r="K205" s="89">
        <f>J205*DATAARK!$C$3</f>
        <v>0</v>
      </c>
      <c r="N205" s="40">
        <f t="shared" si="6"/>
        <v>0</v>
      </c>
    </row>
    <row r="206" spans="1:14" x14ac:dyDescent="0.25">
      <c r="A206" s="27" t="s">
        <v>354</v>
      </c>
      <c r="B206" s="27" t="s">
        <v>355</v>
      </c>
      <c r="J206" s="89">
        <f>I206*DATAARK!$B$3</f>
        <v>0</v>
      </c>
      <c r="K206" s="89">
        <f>J206*DATAARK!$C$3</f>
        <v>0</v>
      </c>
      <c r="N206" s="40">
        <f t="shared" si="6"/>
        <v>0</v>
      </c>
    </row>
    <row r="207" spans="1:14" x14ac:dyDescent="0.25">
      <c r="A207" s="27" t="s">
        <v>356</v>
      </c>
      <c r="B207" s="27" t="s">
        <v>357</v>
      </c>
      <c r="J207" s="89">
        <f>I207*DATAARK!$B$3</f>
        <v>0</v>
      </c>
      <c r="K207" s="89">
        <f>J207*DATAARK!$C$3</f>
        <v>0</v>
      </c>
      <c r="N207" s="40">
        <f t="shared" si="6"/>
        <v>0</v>
      </c>
    </row>
    <row r="208" spans="1:14" x14ac:dyDescent="0.25">
      <c r="A208" s="27" t="s">
        <v>358</v>
      </c>
      <c r="B208" s="27" t="s">
        <v>359</v>
      </c>
      <c r="J208" s="89">
        <f>I208*DATAARK!$B$3</f>
        <v>0</v>
      </c>
      <c r="K208" s="89">
        <f>J208*DATAARK!$C$3</f>
        <v>0</v>
      </c>
      <c r="N208" s="40">
        <f t="shared" si="6"/>
        <v>0</v>
      </c>
    </row>
    <row r="209" spans="1:14" x14ac:dyDescent="0.25">
      <c r="A209" s="28" t="s">
        <v>360</v>
      </c>
      <c r="B209" s="28" t="s">
        <v>361</v>
      </c>
      <c r="C209" s="71"/>
      <c r="D209" s="71"/>
      <c r="E209" s="71"/>
      <c r="F209" s="71"/>
      <c r="G209" s="71"/>
      <c r="H209" s="68">
        <v>0</v>
      </c>
      <c r="I209" s="90">
        <f>SUM(I201:I208)</f>
        <v>0</v>
      </c>
      <c r="J209" s="127">
        <f>SUM(J201:J208)</f>
        <v>0</v>
      </c>
      <c r="K209" s="90">
        <f>SUM(K201:K208)</f>
        <v>0</v>
      </c>
      <c r="N209" s="40">
        <f t="shared" si="6"/>
        <v>0</v>
      </c>
    </row>
    <row r="210" spans="1:14" x14ac:dyDescent="0.25">
      <c r="A210" s="27" t="s">
        <v>12</v>
      </c>
      <c r="B210" s="27" t="s">
        <v>12</v>
      </c>
      <c r="N210" s="40">
        <f t="shared" si="6"/>
        <v>0</v>
      </c>
    </row>
    <row r="211" spans="1:14" x14ac:dyDescent="0.25">
      <c r="A211" s="28" t="s">
        <v>362</v>
      </c>
      <c r="B211" s="28" t="s">
        <v>40</v>
      </c>
      <c r="C211" s="71"/>
      <c r="D211" s="71"/>
      <c r="E211" s="71"/>
      <c r="F211" s="71"/>
      <c r="G211" s="71"/>
      <c r="H211" s="68"/>
      <c r="I211" s="90"/>
      <c r="J211" s="127"/>
      <c r="K211" s="90"/>
      <c r="N211" s="40">
        <f t="shared" si="6"/>
        <v>0</v>
      </c>
    </row>
    <row r="212" spans="1:14" x14ac:dyDescent="0.25">
      <c r="A212" s="27" t="s">
        <v>363</v>
      </c>
      <c r="B212" s="27" t="s">
        <v>364</v>
      </c>
      <c r="J212" s="89">
        <f>I212*DATAARK!$B$3</f>
        <v>0</v>
      </c>
      <c r="K212" s="89">
        <f>J212*DATAARK!$C$3</f>
        <v>0</v>
      </c>
      <c r="N212" s="40">
        <f t="shared" si="6"/>
        <v>0</v>
      </c>
    </row>
    <row r="213" spans="1:14" x14ac:dyDescent="0.25">
      <c r="A213" s="27" t="s">
        <v>365</v>
      </c>
      <c r="B213" s="27" t="s">
        <v>366</v>
      </c>
      <c r="J213" s="89">
        <f>I213*DATAARK!$B$3</f>
        <v>0</v>
      </c>
      <c r="K213" s="89">
        <f>J213*DATAARK!$C$3</f>
        <v>0</v>
      </c>
      <c r="N213" s="40">
        <f t="shared" si="6"/>
        <v>0</v>
      </c>
    </row>
    <row r="214" spans="1:14" x14ac:dyDescent="0.25">
      <c r="A214" s="27" t="s">
        <v>367</v>
      </c>
      <c r="B214" s="27" t="s">
        <v>368</v>
      </c>
      <c r="J214" s="89">
        <f>I214*DATAARK!$B$3</f>
        <v>0</v>
      </c>
      <c r="K214" s="89">
        <f>J214*DATAARK!$C$3</f>
        <v>0</v>
      </c>
      <c r="N214" s="40">
        <f t="shared" si="6"/>
        <v>0</v>
      </c>
    </row>
    <row r="215" spans="1:14" x14ac:dyDescent="0.25">
      <c r="A215" s="27" t="s">
        <v>369</v>
      </c>
      <c r="B215" s="27" t="s">
        <v>370</v>
      </c>
      <c r="C215" s="70">
        <v>-313.33</v>
      </c>
      <c r="G215" s="70">
        <v>313.33</v>
      </c>
      <c r="H215" s="51">
        <v>-313.33</v>
      </c>
      <c r="J215" s="89">
        <f>I215*DATAARK!$B$3</f>
        <v>0</v>
      </c>
      <c r="K215" s="89">
        <f>J215*DATAARK!$C$3</f>
        <v>0</v>
      </c>
      <c r="N215" s="40">
        <f t="shared" si="6"/>
        <v>0</v>
      </c>
    </row>
    <row r="216" spans="1:14" x14ac:dyDescent="0.25">
      <c r="A216" s="27" t="s">
        <v>371</v>
      </c>
      <c r="B216" s="27" t="s">
        <v>372</v>
      </c>
      <c r="J216" s="89">
        <f>I216*DATAARK!$B$3</f>
        <v>0</v>
      </c>
      <c r="K216" s="89">
        <f>J216*DATAARK!$C$3</f>
        <v>0</v>
      </c>
      <c r="N216" s="40">
        <f t="shared" si="6"/>
        <v>0</v>
      </c>
    </row>
    <row r="217" spans="1:14" x14ac:dyDescent="0.25">
      <c r="A217" s="27" t="s">
        <v>373</v>
      </c>
      <c r="B217" s="27" t="s">
        <v>374</v>
      </c>
      <c r="J217" s="89">
        <f>I217*DATAARK!$B$3</f>
        <v>0</v>
      </c>
      <c r="K217" s="89">
        <f>J217*DATAARK!$C$3</f>
        <v>0</v>
      </c>
      <c r="N217" s="40">
        <f t="shared" si="6"/>
        <v>0</v>
      </c>
    </row>
    <row r="218" spans="1:14" x14ac:dyDescent="0.25">
      <c r="A218" s="27" t="s">
        <v>375</v>
      </c>
      <c r="B218" s="27" t="s">
        <v>376</v>
      </c>
      <c r="J218" s="89">
        <f>I218*DATAARK!$B$3</f>
        <v>0</v>
      </c>
      <c r="K218" s="89">
        <f>J218*DATAARK!$C$3</f>
        <v>0</v>
      </c>
      <c r="N218" s="40">
        <f t="shared" si="6"/>
        <v>0</v>
      </c>
    </row>
    <row r="219" spans="1:14" x14ac:dyDescent="0.25">
      <c r="A219" s="28" t="s">
        <v>377</v>
      </c>
      <c r="B219" s="28" t="s">
        <v>378</v>
      </c>
      <c r="C219" s="71">
        <v>-313.33</v>
      </c>
      <c r="D219" s="71"/>
      <c r="E219" s="71"/>
      <c r="F219" s="71"/>
      <c r="G219" s="71">
        <v>313.33</v>
      </c>
      <c r="H219" s="68">
        <v>-313.33</v>
      </c>
      <c r="I219" s="90">
        <f>SUM(I212:I218)</f>
        <v>0</v>
      </c>
      <c r="J219" s="127">
        <f>SUM(J212:J218)</f>
        <v>0</v>
      </c>
      <c r="K219" s="90">
        <f>SUM(K212:K218)</f>
        <v>0</v>
      </c>
      <c r="N219" s="40">
        <f t="shared" si="6"/>
        <v>0</v>
      </c>
    </row>
    <row r="220" spans="1:14" x14ac:dyDescent="0.25">
      <c r="A220" s="27" t="s">
        <v>12</v>
      </c>
      <c r="B220" s="27" t="s">
        <v>12</v>
      </c>
      <c r="N220" s="40">
        <f t="shared" si="6"/>
        <v>0</v>
      </c>
    </row>
    <row r="221" spans="1:14" x14ac:dyDescent="0.25">
      <c r="A221" s="28" t="s">
        <v>379</v>
      </c>
      <c r="B221" s="28" t="s">
        <v>380</v>
      </c>
      <c r="C221" s="71"/>
      <c r="D221" s="71"/>
      <c r="E221" s="71"/>
      <c r="F221" s="71"/>
      <c r="G221" s="71"/>
      <c r="H221" s="68"/>
      <c r="I221" s="90"/>
      <c r="J221" s="127"/>
      <c r="K221" s="90"/>
      <c r="N221" s="40">
        <f t="shared" si="6"/>
        <v>0</v>
      </c>
    </row>
    <row r="222" spans="1:14" x14ac:dyDescent="0.25">
      <c r="A222" s="27" t="s">
        <v>381</v>
      </c>
      <c r="B222" s="27" t="s">
        <v>380</v>
      </c>
      <c r="J222" s="89">
        <f>I222*DATAARK!$B$3</f>
        <v>0</v>
      </c>
      <c r="K222" s="89">
        <f>J222*DATAARK!$C$3</f>
        <v>0</v>
      </c>
      <c r="N222" s="40">
        <f t="shared" si="6"/>
        <v>0</v>
      </c>
    </row>
    <row r="223" spans="1:14" x14ac:dyDescent="0.25">
      <c r="A223" s="28" t="s">
        <v>382</v>
      </c>
      <c r="B223" s="28" t="s">
        <v>383</v>
      </c>
      <c r="C223" s="71"/>
      <c r="D223" s="71"/>
      <c r="E223" s="71"/>
      <c r="F223" s="71"/>
      <c r="G223" s="71"/>
      <c r="H223" s="68">
        <v>0</v>
      </c>
      <c r="I223" s="90">
        <f>I222</f>
        <v>0</v>
      </c>
      <c r="J223" s="127">
        <f>SUM(J222)</f>
        <v>0</v>
      </c>
      <c r="K223" s="90">
        <f>SUM(K222)</f>
        <v>0</v>
      </c>
      <c r="N223" s="40">
        <f t="shared" si="6"/>
        <v>0</v>
      </c>
    </row>
    <row r="224" spans="1:14" x14ac:dyDescent="0.25">
      <c r="A224" s="27" t="s">
        <v>12</v>
      </c>
      <c r="B224" s="27" t="s">
        <v>12</v>
      </c>
      <c r="N224" s="40">
        <f t="shared" si="6"/>
        <v>0</v>
      </c>
    </row>
    <row r="225" spans="1:14" x14ac:dyDescent="0.25">
      <c r="A225" s="28" t="s">
        <v>384</v>
      </c>
      <c r="B225" s="28" t="s">
        <v>385</v>
      </c>
      <c r="C225" s="71"/>
      <c r="D225" s="71"/>
      <c r="E225" s="71"/>
      <c r="F225" s="71"/>
      <c r="G225" s="71"/>
      <c r="H225" s="68"/>
      <c r="I225" s="90"/>
      <c r="J225" s="127"/>
      <c r="K225" s="90"/>
      <c r="N225" s="40">
        <f t="shared" si="6"/>
        <v>0</v>
      </c>
    </row>
    <row r="226" spans="1:14" x14ac:dyDescent="0.25">
      <c r="A226" s="27" t="s">
        <v>386</v>
      </c>
      <c r="B226" s="27" t="s">
        <v>385</v>
      </c>
      <c r="J226" s="89">
        <f>I226*DATAARK!$B$3</f>
        <v>0</v>
      </c>
      <c r="K226" s="89">
        <f>J226*DATAARK!$C$3</f>
        <v>0</v>
      </c>
      <c r="N226" s="40">
        <f t="shared" si="6"/>
        <v>0</v>
      </c>
    </row>
    <row r="227" spans="1:14" x14ac:dyDescent="0.25">
      <c r="A227" s="28" t="s">
        <v>387</v>
      </c>
      <c r="B227" s="28" t="s">
        <v>388</v>
      </c>
      <c r="C227" s="71"/>
      <c r="D227" s="71"/>
      <c r="E227" s="71"/>
      <c r="F227" s="71"/>
      <c r="G227" s="71"/>
      <c r="H227" s="68">
        <v>0</v>
      </c>
      <c r="I227" s="90">
        <f>I226</f>
        <v>0</v>
      </c>
      <c r="J227" s="127">
        <f>J226</f>
        <v>0</v>
      </c>
      <c r="K227" s="90">
        <f>K226</f>
        <v>0</v>
      </c>
      <c r="N227" s="40">
        <f t="shared" si="6"/>
        <v>0</v>
      </c>
    </row>
    <row r="228" spans="1:14" x14ac:dyDescent="0.25">
      <c r="A228" s="27" t="s">
        <v>12</v>
      </c>
      <c r="B228" s="27" t="s">
        <v>12</v>
      </c>
      <c r="N228" s="40">
        <f t="shared" si="6"/>
        <v>0</v>
      </c>
    </row>
    <row r="229" spans="1:14" ht="15.75" thickBot="1" x14ac:dyDescent="0.3">
      <c r="A229" s="29" t="s">
        <v>389</v>
      </c>
      <c r="B229" s="29" t="s">
        <v>390</v>
      </c>
      <c r="C229" s="72">
        <v>808762.11</v>
      </c>
      <c r="D229" s="72">
        <v>-858304.41</v>
      </c>
      <c r="E229" s="72">
        <v>194.23</v>
      </c>
      <c r="F229" s="72">
        <v>-94.23</v>
      </c>
      <c r="G229" s="72">
        <v>-1667066.52</v>
      </c>
      <c r="H229" s="69">
        <v>-899647.92539786035</v>
      </c>
      <c r="I229" s="106">
        <f>I219+I209+I223+I227+I198+I136+I127</f>
        <v>-281781.86039785948</v>
      </c>
      <c r="J229" s="130">
        <f>J227+J223+J219+J209+J198+J136+J127</f>
        <v>358312.84815500118</v>
      </c>
      <c r="K229" s="106">
        <f>K227+K223+K219+K209+K198+K136+K127</f>
        <v>1264363.2093970017</v>
      </c>
      <c r="N229" s="40">
        <f t="shared" si="6"/>
        <v>1</v>
      </c>
    </row>
    <row r="230" spans="1:14" ht="15.75" thickTop="1" x14ac:dyDescent="0.25">
      <c r="A230" s="27" t="s">
        <v>12</v>
      </c>
      <c r="B230" s="27" t="s">
        <v>12</v>
      </c>
      <c r="N230" s="40">
        <f t="shared" si="6"/>
        <v>0</v>
      </c>
    </row>
    <row r="231" spans="1:14" x14ac:dyDescent="0.25">
      <c r="A231" s="28" t="s">
        <v>391</v>
      </c>
      <c r="B231" s="28" t="s">
        <v>392</v>
      </c>
      <c r="C231" s="71"/>
      <c r="D231" s="71"/>
      <c r="E231" s="71"/>
      <c r="F231" s="71"/>
      <c r="G231" s="71"/>
      <c r="H231" s="68"/>
      <c r="I231" s="90"/>
      <c r="J231" s="127"/>
      <c r="K231" s="90"/>
      <c r="N231" s="40">
        <f t="shared" si="6"/>
        <v>0</v>
      </c>
    </row>
    <row r="232" spans="1:14" x14ac:dyDescent="0.25">
      <c r="A232" s="27" t="s">
        <v>393</v>
      </c>
      <c r="B232" s="27" t="s">
        <v>394</v>
      </c>
      <c r="J232" s="89">
        <f>I232*DATAARK!$B$3</f>
        <v>0</v>
      </c>
      <c r="K232" s="89">
        <f>J232*DATAARK!$C$3</f>
        <v>0</v>
      </c>
      <c r="N232" s="40">
        <f t="shared" si="6"/>
        <v>0</v>
      </c>
    </row>
    <row r="233" spans="1:14" x14ac:dyDescent="0.25">
      <c r="A233" s="27" t="s">
        <v>395</v>
      </c>
      <c r="B233" s="27" t="s">
        <v>396</v>
      </c>
      <c r="J233" s="89">
        <f>I233*DATAARK!$B$3</f>
        <v>0</v>
      </c>
      <c r="K233" s="89">
        <f>J233*DATAARK!$C$3</f>
        <v>0</v>
      </c>
      <c r="N233" s="40">
        <f t="shared" si="6"/>
        <v>0</v>
      </c>
    </row>
    <row r="234" spans="1:14" x14ac:dyDescent="0.25">
      <c r="A234" s="27" t="s">
        <v>397</v>
      </c>
      <c r="B234" s="27" t="s">
        <v>398</v>
      </c>
      <c r="J234" s="89">
        <f>I234*DATAARK!$B$3</f>
        <v>0</v>
      </c>
      <c r="K234" s="89">
        <f>J234*DATAARK!$C$3</f>
        <v>0</v>
      </c>
      <c r="N234" s="40">
        <f t="shared" si="6"/>
        <v>0</v>
      </c>
    </row>
    <row r="235" spans="1:14" x14ac:dyDescent="0.25">
      <c r="A235" s="28" t="s">
        <v>399</v>
      </c>
      <c r="B235" s="28" t="s">
        <v>400</v>
      </c>
      <c r="C235" s="71"/>
      <c r="D235" s="71"/>
      <c r="E235" s="71"/>
      <c r="F235" s="71"/>
      <c r="G235" s="71"/>
      <c r="H235" s="68">
        <v>0</v>
      </c>
      <c r="I235" s="90">
        <f>SUM(I232:I234)</f>
        <v>0</v>
      </c>
      <c r="J235" s="127">
        <f>SUM(J232:J234)</f>
        <v>0</v>
      </c>
      <c r="K235" s="90">
        <f>SUM(K232:K234)</f>
        <v>0</v>
      </c>
      <c r="N235" s="40">
        <f t="shared" si="6"/>
        <v>0</v>
      </c>
    </row>
    <row r="236" spans="1:14" x14ac:dyDescent="0.25">
      <c r="A236" s="27" t="s">
        <v>12</v>
      </c>
      <c r="B236" s="27" t="s">
        <v>12</v>
      </c>
      <c r="N236" s="40">
        <f t="shared" si="6"/>
        <v>0</v>
      </c>
    </row>
    <row r="237" spans="1:14" ht="15.75" thickBot="1" x14ac:dyDescent="0.3">
      <c r="A237" s="29" t="s">
        <v>12</v>
      </c>
      <c r="B237" s="29" t="s">
        <v>46</v>
      </c>
      <c r="C237" s="72">
        <v>808762.11</v>
      </c>
      <c r="D237" s="72">
        <v>-858304.41</v>
      </c>
      <c r="E237" s="72">
        <v>194.23</v>
      </c>
      <c r="F237" s="72">
        <v>-94.23</v>
      </c>
      <c r="G237" s="72">
        <v>-1667066.52</v>
      </c>
      <c r="H237" s="69">
        <v>-899647.92539786035</v>
      </c>
      <c r="I237" s="106">
        <f>I229+I235</f>
        <v>-281781.86039785948</v>
      </c>
      <c r="J237" s="130"/>
      <c r="K237" s="106"/>
      <c r="N237" s="40">
        <f t="shared" si="6"/>
        <v>0</v>
      </c>
    </row>
    <row r="238" spans="1:14" ht="15.75" thickTop="1" x14ac:dyDescent="0.25">
      <c r="A238" s="27" t="s">
        <v>12</v>
      </c>
      <c r="B238" s="27" t="s">
        <v>12</v>
      </c>
      <c r="N238" s="40">
        <f t="shared" si="6"/>
        <v>0</v>
      </c>
    </row>
    <row r="239" spans="1:14" x14ac:dyDescent="0.25">
      <c r="A239" s="27" t="s">
        <v>401</v>
      </c>
      <c r="B239" s="27" t="s">
        <v>402</v>
      </c>
      <c r="J239" s="89">
        <f>I239*DATAARK!$B$3</f>
        <v>0</v>
      </c>
      <c r="K239" s="89">
        <f>J239*DATAARK!$C$3</f>
        <v>0</v>
      </c>
      <c r="N239" s="40">
        <f t="shared" si="6"/>
        <v>0</v>
      </c>
    </row>
    <row r="240" spans="1:14" x14ac:dyDescent="0.25">
      <c r="A240" s="27" t="s">
        <v>403</v>
      </c>
      <c r="B240" s="27" t="s">
        <v>404</v>
      </c>
      <c r="J240" s="89">
        <f>I240*DATAARK!$B$3</f>
        <v>0</v>
      </c>
      <c r="K240" s="89">
        <f>J240*DATAARK!$C$3</f>
        <v>0</v>
      </c>
      <c r="N240" s="40">
        <f t="shared" si="6"/>
        <v>0</v>
      </c>
    </row>
    <row r="241" spans="1:14" x14ac:dyDescent="0.25">
      <c r="A241" s="27" t="s">
        <v>405</v>
      </c>
      <c r="B241" s="27" t="s">
        <v>406</v>
      </c>
      <c r="C241" s="70">
        <v>-71340.66</v>
      </c>
      <c r="D241" s="70">
        <v>-142681.19</v>
      </c>
      <c r="E241" s="70">
        <v>50</v>
      </c>
      <c r="F241" s="70">
        <v>50</v>
      </c>
      <c r="G241" s="70">
        <v>-71340.53</v>
      </c>
      <c r="H241" s="51">
        <v>-142681.26999999999</v>
      </c>
      <c r="I241" s="103">
        <v>-142681.26999999999</v>
      </c>
      <c r="J241" s="89">
        <f>I241*DATAARK!$B$3-41000-J249</f>
        <v>-282706.99</v>
      </c>
      <c r="K241" s="89">
        <f>J241*DATAARK!$C$3</f>
        <v>-282706.99</v>
      </c>
      <c r="N241" s="40">
        <f t="shared" si="6"/>
        <v>0</v>
      </c>
    </row>
    <row r="242" spans="1:14" x14ac:dyDescent="0.25">
      <c r="A242" s="27" t="s">
        <v>407</v>
      </c>
      <c r="B242" s="27" t="s">
        <v>408</v>
      </c>
      <c r="J242" s="89">
        <f>I242*DATAARK!$B$3</f>
        <v>0</v>
      </c>
      <c r="K242" s="89">
        <f>J242*DATAARK!$C$3</f>
        <v>0</v>
      </c>
      <c r="N242" s="40">
        <f t="shared" si="6"/>
        <v>0</v>
      </c>
    </row>
    <row r="243" spans="1:14" x14ac:dyDescent="0.25">
      <c r="A243" s="28" t="s">
        <v>409</v>
      </c>
      <c r="B243" s="28" t="s">
        <v>410</v>
      </c>
      <c r="C243" s="71">
        <v>-71340.66</v>
      </c>
      <c r="D243" s="71">
        <v>-142681.19</v>
      </c>
      <c r="E243" s="71">
        <v>50</v>
      </c>
      <c r="F243" s="71">
        <v>50</v>
      </c>
      <c r="G243" s="71">
        <v>-71340.53</v>
      </c>
      <c r="H243" s="68">
        <v>-142681.26999999999</v>
      </c>
      <c r="I243" s="90">
        <f>SUM(I239:I242)</f>
        <v>-142681.26999999999</v>
      </c>
      <c r="J243" s="90">
        <f>SUM(J239:J242)</f>
        <v>-282706.99</v>
      </c>
      <c r="K243" s="90">
        <f>SUM(K239:K242)</f>
        <v>-282706.99</v>
      </c>
      <c r="N243" s="40">
        <f t="shared" si="6"/>
        <v>0</v>
      </c>
    </row>
    <row r="244" spans="1:14" x14ac:dyDescent="0.25">
      <c r="A244" s="27" t="s">
        <v>12</v>
      </c>
      <c r="B244" s="27" t="s">
        <v>12</v>
      </c>
      <c r="N244" s="40">
        <f t="shared" si="6"/>
        <v>0</v>
      </c>
    </row>
    <row r="245" spans="1:14" ht="15.75" thickBot="1" x14ac:dyDescent="0.3">
      <c r="A245" s="29" t="s">
        <v>411</v>
      </c>
      <c r="B245" s="29" t="s">
        <v>49</v>
      </c>
      <c r="C245" s="72">
        <v>737421.45</v>
      </c>
      <c r="D245" s="72">
        <v>-1000985.6</v>
      </c>
      <c r="E245" s="72">
        <v>173.67</v>
      </c>
      <c r="F245" s="72">
        <v>-73.67</v>
      </c>
      <c r="G245" s="72">
        <v>-1738407.05</v>
      </c>
      <c r="H245" s="69">
        <v>-1042329.1953978604</v>
      </c>
      <c r="I245" s="106">
        <f>+I237+I243</f>
        <v>-424463.1303978595</v>
      </c>
      <c r="J245" s="130">
        <f>J229+J235+J243</f>
        <v>75605.858155001188</v>
      </c>
      <c r="K245" s="106">
        <f>K229+K235+K243</f>
        <v>981656.21939700167</v>
      </c>
      <c r="N245" s="40">
        <f t="shared" si="6"/>
        <v>1</v>
      </c>
    </row>
    <row r="246" spans="1:14" ht="15.75" thickTop="1" x14ac:dyDescent="0.25"/>
    <row r="248" spans="1:14" x14ac:dyDescent="0.25">
      <c r="I248" s="103" t="s">
        <v>498</v>
      </c>
      <c r="J248" s="89">
        <f>2050000/50</f>
        <v>41000</v>
      </c>
    </row>
    <row r="249" spans="1:14" x14ac:dyDescent="0.25">
      <c r="I249" s="103" t="s">
        <v>506</v>
      </c>
      <c r="J249" s="89">
        <f>L255/50</f>
        <v>99025.72</v>
      </c>
    </row>
    <row r="253" spans="1:14" x14ac:dyDescent="0.25">
      <c r="L253">
        <v>1798714</v>
      </c>
    </row>
    <row r="254" spans="1:14" x14ac:dyDescent="0.25">
      <c r="L254">
        <v>6750000</v>
      </c>
    </row>
    <row r="255" spans="1:14" x14ac:dyDescent="0.25">
      <c r="L255">
        <f>L254-L253</f>
        <v>4951286</v>
      </c>
    </row>
  </sheetData>
  <conditionalFormatting sqref="N1:N1048576">
    <cfRule type="cellIs" dxfId="143" priority="48" operator="equal">
      <formula>1</formula>
    </cfRule>
  </conditionalFormatting>
  <conditionalFormatting sqref="N130:N136">
    <cfRule type="cellIs" dxfId="142" priority="47" operator="equal">
      <formula>2</formula>
    </cfRule>
  </conditionalFormatting>
  <conditionalFormatting sqref="N121">
    <cfRule type="cellIs" dxfId="141" priority="46" operator="equal">
      <formula>2</formula>
    </cfRule>
  </conditionalFormatting>
  <conditionalFormatting sqref="N120">
    <cfRule type="cellIs" dxfId="140" priority="45" operator="equal">
      <formula>2</formula>
    </cfRule>
  </conditionalFormatting>
  <conditionalFormatting sqref="N119">
    <cfRule type="cellIs" dxfId="139" priority="44" operator="equal">
      <formula>2</formula>
    </cfRule>
  </conditionalFormatting>
  <conditionalFormatting sqref="N118">
    <cfRule type="cellIs" dxfId="138" priority="43" operator="equal">
      <formula>2</formula>
    </cfRule>
  </conditionalFormatting>
  <conditionalFormatting sqref="N117">
    <cfRule type="cellIs" dxfId="137" priority="42" operator="equal">
      <formula>2</formula>
    </cfRule>
  </conditionalFormatting>
  <conditionalFormatting sqref="N116">
    <cfRule type="cellIs" dxfId="136" priority="41" operator="equal">
      <formula>2</formula>
    </cfRule>
  </conditionalFormatting>
  <conditionalFormatting sqref="N115">
    <cfRule type="cellIs" dxfId="135" priority="40" operator="equal">
      <formula>2</formula>
    </cfRule>
  </conditionalFormatting>
  <conditionalFormatting sqref="N116">
    <cfRule type="cellIs" dxfId="134" priority="39" operator="equal">
      <formula>2</formula>
    </cfRule>
  </conditionalFormatting>
  <conditionalFormatting sqref="N117">
    <cfRule type="cellIs" dxfId="133" priority="38" operator="equal">
      <formula>2</formula>
    </cfRule>
  </conditionalFormatting>
  <conditionalFormatting sqref="N118">
    <cfRule type="cellIs" dxfId="132" priority="37" operator="equal">
      <formula>2</formula>
    </cfRule>
  </conditionalFormatting>
  <conditionalFormatting sqref="N119">
    <cfRule type="cellIs" dxfId="131" priority="36" operator="equal">
      <formula>2</formula>
    </cfRule>
  </conditionalFormatting>
  <conditionalFormatting sqref="N120">
    <cfRule type="cellIs" dxfId="130" priority="35" operator="equal">
      <formula>2</formula>
    </cfRule>
  </conditionalFormatting>
  <conditionalFormatting sqref="N121">
    <cfRule type="cellIs" dxfId="129" priority="34" operator="equal">
      <formula>2</formula>
    </cfRule>
  </conditionalFormatting>
  <conditionalFormatting sqref="N116">
    <cfRule type="cellIs" dxfId="128" priority="33" operator="equal">
      <formula>2</formula>
    </cfRule>
  </conditionalFormatting>
  <conditionalFormatting sqref="N117">
    <cfRule type="cellIs" dxfId="127" priority="32" operator="equal">
      <formula>2</formula>
    </cfRule>
  </conditionalFormatting>
  <conditionalFormatting sqref="N118">
    <cfRule type="cellIs" dxfId="126" priority="31" operator="equal">
      <formula>2</formula>
    </cfRule>
  </conditionalFormatting>
  <conditionalFormatting sqref="N119">
    <cfRule type="cellIs" dxfId="125" priority="30" operator="equal">
      <formula>2</formula>
    </cfRule>
  </conditionalFormatting>
  <conditionalFormatting sqref="N120">
    <cfRule type="cellIs" dxfId="124" priority="29" operator="equal">
      <formula>2</formula>
    </cfRule>
  </conditionalFormatting>
  <conditionalFormatting sqref="N121">
    <cfRule type="cellIs" dxfId="123" priority="28" operator="equal">
      <formula>2</formula>
    </cfRule>
  </conditionalFormatting>
  <conditionalFormatting sqref="N130">
    <cfRule type="cellIs" dxfId="122" priority="27" operator="equal">
      <formula>2</formula>
    </cfRule>
  </conditionalFormatting>
  <conditionalFormatting sqref="N131">
    <cfRule type="cellIs" dxfId="121" priority="26" operator="equal">
      <formula>2</formula>
    </cfRule>
  </conditionalFormatting>
  <conditionalFormatting sqref="N132">
    <cfRule type="cellIs" dxfId="120" priority="25" operator="equal">
      <formula>2</formula>
    </cfRule>
  </conditionalFormatting>
  <conditionalFormatting sqref="N133">
    <cfRule type="cellIs" dxfId="119" priority="24" operator="equal">
      <formula>2</formula>
    </cfRule>
  </conditionalFormatting>
  <conditionalFormatting sqref="N134">
    <cfRule type="cellIs" dxfId="118" priority="23" operator="equal">
      <formula>2</formula>
    </cfRule>
  </conditionalFormatting>
  <conditionalFormatting sqref="N135">
    <cfRule type="cellIs" dxfId="117" priority="22" operator="equal">
      <formula>2</formula>
    </cfRule>
  </conditionalFormatting>
  <conditionalFormatting sqref="N136">
    <cfRule type="cellIs" dxfId="116" priority="21" operator="equal">
      <formula>2</formula>
    </cfRule>
  </conditionalFormatting>
  <conditionalFormatting sqref="N59">
    <cfRule type="cellIs" dxfId="115" priority="20" operator="equal">
      <formula>2</formula>
    </cfRule>
  </conditionalFormatting>
  <conditionalFormatting sqref="N58">
    <cfRule type="cellIs" dxfId="114" priority="19" operator="equal">
      <formula>2</formula>
    </cfRule>
  </conditionalFormatting>
  <conditionalFormatting sqref="N57">
    <cfRule type="cellIs" dxfId="113" priority="18" operator="equal">
      <formula>2</formula>
    </cfRule>
  </conditionalFormatting>
  <conditionalFormatting sqref="N56">
    <cfRule type="cellIs" dxfId="112" priority="17" operator="equal">
      <formula>2</formula>
    </cfRule>
  </conditionalFormatting>
  <conditionalFormatting sqref="N55">
    <cfRule type="cellIs" dxfId="111" priority="16" operator="equal">
      <formula>2</formula>
    </cfRule>
  </conditionalFormatting>
  <conditionalFormatting sqref="N54">
    <cfRule type="cellIs" dxfId="110" priority="15" operator="equal">
      <formula>2</formula>
    </cfRule>
  </conditionalFormatting>
  <conditionalFormatting sqref="N53">
    <cfRule type="cellIs" dxfId="109" priority="14" operator="equal">
      <formula>2</formula>
    </cfRule>
  </conditionalFormatting>
  <conditionalFormatting sqref="N52">
    <cfRule type="cellIs" dxfId="108" priority="13" operator="equal">
      <formula>2</formula>
    </cfRule>
  </conditionalFormatting>
  <conditionalFormatting sqref="N51">
    <cfRule type="cellIs" dxfId="107" priority="12" operator="equal">
      <formula>2</formula>
    </cfRule>
  </conditionalFormatting>
  <conditionalFormatting sqref="N50">
    <cfRule type="cellIs" dxfId="106" priority="11" operator="equal">
      <formula>2</formula>
    </cfRule>
  </conditionalFormatting>
  <conditionalFormatting sqref="N49">
    <cfRule type="cellIs" dxfId="105" priority="10" operator="equal">
      <formula>2</formula>
    </cfRule>
  </conditionalFormatting>
  <conditionalFormatting sqref="N48">
    <cfRule type="cellIs" dxfId="104" priority="9" operator="equal">
      <formula>2</formula>
    </cfRule>
  </conditionalFormatting>
  <conditionalFormatting sqref="N44">
    <cfRule type="cellIs" dxfId="103" priority="8" operator="equal">
      <formula>2</formula>
    </cfRule>
  </conditionalFormatting>
  <conditionalFormatting sqref="N45">
    <cfRule type="cellIs" dxfId="102" priority="7" operator="equal">
      <formula>2</formula>
    </cfRule>
  </conditionalFormatting>
  <conditionalFormatting sqref="N40">
    <cfRule type="cellIs" dxfId="101" priority="6" operator="equal">
      <formula>2</formula>
    </cfRule>
  </conditionalFormatting>
  <conditionalFormatting sqref="N41">
    <cfRule type="cellIs" dxfId="100" priority="5" operator="equal">
      <formula>2</formula>
    </cfRule>
  </conditionalFormatting>
  <conditionalFormatting sqref="N42">
    <cfRule type="cellIs" dxfId="99" priority="4" operator="equal">
      <formula>2</formula>
    </cfRule>
  </conditionalFormatting>
  <conditionalFormatting sqref="N43">
    <cfRule type="cellIs" dxfId="98" priority="3" operator="equal">
      <formula>2</formula>
    </cfRule>
  </conditionalFormatting>
  <conditionalFormatting sqref="N44">
    <cfRule type="cellIs" dxfId="97" priority="2" operator="equal">
      <formula>2</formula>
    </cfRule>
  </conditionalFormatting>
  <conditionalFormatting sqref="N62">
    <cfRule type="cellIs" dxfId="96" priority="1" operator="equal">
      <formula>2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251"/>
  <sheetViews>
    <sheetView topLeftCell="A88" workbookViewId="0">
      <selection activeCell="K110" sqref="K110"/>
    </sheetView>
  </sheetViews>
  <sheetFormatPr defaultRowHeight="15" x14ac:dyDescent="0.25"/>
  <cols>
    <col min="1" max="1" width="17.7109375" bestFit="1" customWidth="1"/>
    <col min="2" max="2" width="48.7109375" bestFit="1" customWidth="1"/>
    <col min="3" max="3" width="12.85546875" style="70" bestFit="1" customWidth="1"/>
    <col min="4" max="4" width="14" style="70" customWidth="1"/>
    <col min="5" max="5" width="10.28515625" style="70" hidden="1" customWidth="1"/>
    <col min="6" max="6" width="19.42578125" style="70" hidden="1" customWidth="1"/>
    <col min="7" max="7" width="12.85546875" style="70" hidden="1" customWidth="1"/>
    <col min="8" max="8" width="12.85546875" style="70" customWidth="1"/>
    <col min="9" max="9" width="13.28515625" style="103" bestFit="1" customWidth="1"/>
    <col min="10" max="10" width="19.42578125" style="102" bestFit="1" customWidth="1"/>
    <col min="11" max="11" width="18" style="103" bestFit="1" customWidth="1"/>
    <col min="14" max="14" width="9.140625" style="40"/>
  </cols>
  <sheetData>
    <row r="1" spans="1:11" x14ac:dyDescent="0.25">
      <c r="A1" s="21" t="s">
        <v>0</v>
      </c>
      <c r="B1" s="20"/>
      <c r="J1" s="103"/>
    </row>
    <row r="2" spans="1:11" x14ac:dyDescent="0.25">
      <c r="A2" s="22" t="s">
        <v>1</v>
      </c>
      <c r="B2" s="22" t="s">
        <v>2</v>
      </c>
      <c r="J2" s="103"/>
    </row>
    <row r="3" spans="1:11" x14ac:dyDescent="0.25">
      <c r="A3" s="22" t="s">
        <v>3</v>
      </c>
      <c r="B3" s="22" t="s">
        <v>4</v>
      </c>
      <c r="J3" s="103"/>
    </row>
    <row r="4" spans="1:11" x14ac:dyDescent="0.25">
      <c r="A4" s="22" t="s">
        <v>412</v>
      </c>
      <c r="B4" s="22" t="s">
        <v>416</v>
      </c>
      <c r="J4" s="103"/>
    </row>
    <row r="5" spans="1:11" x14ac:dyDescent="0.25">
      <c r="J5" s="103"/>
    </row>
    <row r="6" spans="1:11" x14ac:dyDescent="0.25">
      <c r="A6" s="22" t="s">
        <v>5</v>
      </c>
      <c r="B6" s="22" t="s">
        <v>6</v>
      </c>
      <c r="J6" s="103"/>
    </row>
    <row r="7" spans="1:11" x14ac:dyDescent="0.25">
      <c r="J7" s="103"/>
    </row>
    <row r="8" spans="1:11" ht="30" x14ac:dyDescent="0.25">
      <c r="A8" s="20"/>
      <c r="B8" s="20"/>
      <c r="C8" s="71" t="s">
        <v>7</v>
      </c>
      <c r="D8" s="71" t="s">
        <v>8</v>
      </c>
      <c r="E8" s="71" t="s">
        <v>9</v>
      </c>
      <c r="F8" s="71" t="s">
        <v>10</v>
      </c>
      <c r="G8" s="71" t="s">
        <v>11</v>
      </c>
      <c r="H8" s="68" t="s">
        <v>428</v>
      </c>
      <c r="I8" s="118" t="s">
        <v>486</v>
      </c>
      <c r="J8" s="96" t="s">
        <v>472</v>
      </c>
      <c r="K8" s="96" t="s">
        <v>473</v>
      </c>
    </row>
    <row r="9" spans="1:11" x14ac:dyDescent="0.25">
      <c r="A9" s="23" t="s">
        <v>12</v>
      </c>
      <c r="B9" s="23" t="s">
        <v>13</v>
      </c>
      <c r="C9" s="71" t="s">
        <v>478</v>
      </c>
      <c r="D9" s="86">
        <v>2021</v>
      </c>
      <c r="E9" s="86"/>
      <c r="F9" s="86"/>
      <c r="G9" s="86"/>
      <c r="H9" s="87">
        <v>2021</v>
      </c>
      <c r="I9" s="99">
        <v>2021</v>
      </c>
      <c r="J9" s="98">
        <v>2022</v>
      </c>
      <c r="K9" s="99">
        <v>2023</v>
      </c>
    </row>
    <row r="10" spans="1:11" x14ac:dyDescent="0.25">
      <c r="A10" s="22" t="s">
        <v>12</v>
      </c>
      <c r="B10" s="22" t="s">
        <v>12</v>
      </c>
      <c r="I10" s="119"/>
      <c r="J10" s="119"/>
      <c r="K10" s="119"/>
    </row>
    <row r="11" spans="1:11" x14ac:dyDescent="0.25">
      <c r="A11" s="22" t="s">
        <v>14</v>
      </c>
      <c r="B11" s="22" t="s">
        <v>15</v>
      </c>
      <c r="C11" s="70">
        <v>5421565</v>
      </c>
      <c r="D11" s="70">
        <v>12181940.300000001</v>
      </c>
      <c r="E11" s="70">
        <v>55.5</v>
      </c>
      <c r="F11" s="70">
        <v>44.5</v>
      </c>
      <c r="G11" s="70">
        <v>6760375.2999999998</v>
      </c>
      <c r="H11" s="70">
        <v>10578347.462213119</v>
      </c>
      <c r="I11" s="119">
        <f>I46</f>
        <v>10578347.462213119</v>
      </c>
      <c r="J11" s="120">
        <f>J46</f>
        <v>11273019</v>
      </c>
      <c r="K11" s="119">
        <f>K46</f>
        <v>11273019</v>
      </c>
    </row>
    <row r="12" spans="1:11" x14ac:dyDescent="0.25">
      <c r="A12" s="22" t="s">
        <v>16</v>
      </c>
      <c r="B12" s="22" t="s">
        <v>17</v>
      </c>
      <c r="C12" s="70">
        <v>131129.20000000001</v>
      </c>
      <c r="D12" s="70">
        <v>561480</v>
      </c>
      <c r="E12" s="70">
        <v>76.650000000000006</v>
      </c>
      <c r="F12" s="70">
        <v>23.35</v>
      </c>
      <c r="G12" s="70">
        <v>430350.8</v>
      </c>
      <c r="H12" s="70">
        <v>680657.4</v>
      </c>
      <c r="I12" s="119">
        <f>I59</f>
        <v>667612</v>
      </c>
      <c r="J12" s="120">
        <f>J59</f>
        <v>667612</v>
      </c>
      <c r="K12" s="119">
        <f>K59</f>
        <v>667612</v>
      </c>
    </row>
    <row r="13" spans="1:11" x14ac:dyDescent="0.25">
      <c r="A13" s="22" t="s">
        <v>18</v>
      </c>
      <c r="B13" s="22" t="s">
        <v>19</v>
      </c>
      <c r="C13" s="70">
        <v>25544.75</v>
      </c>
      <c r="G13" s="70">
        <v>-25544.75</v>
      </c>
      <c r="H13" s="70">
        <v>51089.5</v>
      </c>
      <c r="I13" s="119">
        <f>I63</f>
        <v>51089.5</v>
      </c>
      <c r="J13" s="120">
        <f>J63</f>
        <v>51089.5</v>
      </c>
      <c r="K13" s="119">
        <f>K63</f>
        <v>51089.5</v>
      </c>
    </row>
    <row r="14" spans="1:11" x14ac:dyDescent="0.25">
      <c r="A14" s="23" t="s">
        <v>20</v>
      </c>
      <c r="B14" s="23" t="s">
        <v>21</v>
      </c>
      <c r="C14" s="71">
        <v>5578238.9500000002</v>
      </c>
      <c r="D14" s="71">
        <v>12743420.300000001</v>
      </c>
      <c r="E14" s="71">
        <v>56.23</v>
      </c>
      <c r="F14" s="71">
        <v>43.77</v>
      </c>
      <c r="G14" s="71">
        <v>7165181.3499999996</v>
      </c>
      <c r="H14" s="71">
        <v>11310094.36221312</v>
      </c>
      <c r="I14" s="96">
        <f>SUM(I11:I13)</f>
        <v>11297048.962213119</v>
      </c>
      <c r="J14" s="121">
        <f>SUM(J11:J13)</f>
        <v>11991720.5</v>
      </c>
      <c r="K14" s="96">
        <f>SUM(K11:K13)</f>
        <v>11991720.5</v>
      </c>
    </row>
    <row r="15" spans="1:11" x14ac:dyDescent="0.25">
      <c r="A15" s="22" t="s">
        <v>12</v>
      </c>
      <c r="B15" s="22" t="s">
        <v>12</v>
      </c>
      <c r="I15" s="119"/>
      <c r="J15" s="119"/>
      <c r="K15" s="119"/>
    </row>
    <row r="16" spans="1:11" x14ac:dyDescent="0.25">
      <c r="A16" s="23" t="s">
        <v>12</v>
      </c>
      <c r="B16" s="23" t="s">
        <v>22</v>
      </c>
      <c r="C16" s="71"/>
      <c r="D16" s="71"/>
      <c r="E16" s="71"/>
      <c r="F16" s="71"/>
      <c r="G16" s="71"/>
      <c r="H16" s="71"/>
      <c r="I16" s="96"/>
      <c r="J16" s="121"/>
      <c r="K16" s="96"/>
    </row>
    <row r="17" spans="1:11" x14ac:dyDescent="0.25">
      <c r="A17" s="22" t="s">
        <v>23</v>
      </c>
      <c r="B17" s="22" t="s">
        <v>24</v>
      </c>
      <c r="I17" s="119"/>
      <c r="J17" s="120"/>
      <c r="K17" s="119"/>
    </row>
    <row r="18" spans="1:11" x14ac:dyDescent="0.25">
      <c r="A18" s="22" t="s">
        <v>25</v>
      </c>
      <c r="B18" s="22" t="s">
        <v>26</v>
      </c>
      <c r="C18" s="70">
        <v>-88927.33</v>
      </c>
      <c r="D18" s="70">
        <v>-309146</v>
      </c>
      <c r="E18" s="70">
        <v>71.23</v>
      </c>
      <c r="F18" s="70">
        <v>28.77</v>
      </c>
      <c r="G18" s="70">
        <v>-220218.67</v>
      </c>
      <c r="H18" s="70">
        <v>-313327</v>
      </c>
      <c r="I18" s="119">
        <f>I77</f>
        <v>-313327</v>
      </c>
      <c r="J18" s="120">
        <f>J77</f>
        <v>-313327</v>
      </c>
      <c r="K18" s="119">
        <f>K77</f>
        <v>-313327</v>
      </c>
    </row>
    <row r="19" spans="1:11" x14ac:dyDescent="0.25">
      <c r="A19" s="22" t="s">
        <v>27</v>
      </c>
      <c r="B19" s="22" t="s">
        <v>28</v>
      </c>
      <c r="I19" s="119"/>
      <c r="J19" s="120"/>
      <c r="K19" s="119"/>
    </row>
    <row r="20" spans="1:11" x14ac:dyDescent="0.25">
      <c r="A20" s="22" t="s">
        <v>12</v>
      </c>
      <c r="B20" s="22" t="s">
        <v>12</v>
      </c>
      <c r="I20" s="119"/>
      <c r="J20" s="120"/>
      <c r="K20" s="119"/>
    </row>
    <row r="21" spans="1:11" x14ac:dyDescent="0.25">
      <c r="A21" s="22" t="s">
        <v>29</v>
      </c>
      <c r="B21" s="22" t="s">
        <v>30</v>
      </c>
      <c r="C21" s="70">
        <v>-5627465.7999999998</v>
      </c>
      <c r="D21" s="70">
        <v>-10211011</v>
      </c>
      <c r="E21" s="70">
        <v>44.89</v>
      </c>
      <c r="F21" s="70">
        <v>55.11</v>
      </c>
      <c r="G21" s="70">
        <v>-4583545.2</v>
      </c>
      <c r="H21" s="70">
        <v>-8938567.5999999996</v>
      </c>
      <c r="I21" s="119">
        <f>I123</f>
        <v>-6398765.1200000001</v>
      </c>
      <c r="J21" s="120">
        <f>J123</f>
        <v>-6398765.1200000001</v>
      </c>
      <c r="K21" s="119">
        <f>K123</f>
        <v>-6398765.1200000001</v>
      </c>
    </row>
    <row r="22" spans="1:11" x14ac:dyDescent="0.25">
      <c r="A22" s="23" t="s">
        <v>31</v>
      </c>
      <c r="B22" s="23" t="s">
        <v>32</v>
      </c>
      <c r="C22" s="71">
        <v>-5716393.1299999999</v>
      </c>
      <c r="D22" s="71">
        <v>-10520157</v>
      </c>
      <c r="E22" s="71">
        <v>45.66</v>
      </c>
      <c r="F22" s="71">
        <v>54.34</v>
      </c>
      <c r="G22" s="71">
        <v>-4803763.87</v>
      </c>
      <c r="H22" s="71">
        <v>-8938567.5999999996</v>
      </c>
      <c r="I22" s="96">
        <f>I21</f>
        <v>-6398765.1200000001</v>
      </c>
      <c r="J22" s="121">
        <f>J21+J18</f>
        <v>-6712092.1200000001</v>
      </c>
      <c r="K22" s="121">
        <f>K21+K18</f>
        <v>-6712092.1200000001</v>
      </c>
    </row>
    <row r="23" spans="1:11" x14ac:dyDescent="0.25">
      <c r="A23" s="22" t="s">
        <v>12</v>
      </c>
      <c r="B23" s="22" t="s">
        <v>12</v>
      </c>
      <c r="I23" s="119"/>
      <c r="J23" s="120"/>
      <c r="K23" s="119"/>
    </row>
    <row r="24" spans="1:11" x14ac:dyDescent="0.25">
      <c r="A24" s="22" t="s">
        <v>33</v>
      </c>
      <c r="B24" s="22" t="s">
        <v>34</v>
      </c>
      <c r="C24" s="70">
        <v>31970.62</v>
      </c>
      <c r="D24" s="70">
        <v>103200</v>
      </c>
      <c r="E24" s="70">
        <v>69.02</v>
      </c>
      <c r="F24" s="70">
        <v>30.98</v>
      </c>
      <c r="G24" s="70">
        <v>71229.38</v>
      </c>
      <c r="H24" s="70">
        <v>124775.62</v>
      </c>
      <c r="I24" s="119">
        <f>I136</f>
        <v>103200</v>
      </c>
      <c r="J24" s="120">
        <f>J136</f>
        <v>103200</v>
      </c>
      <c r="K24" s="119">
        <f>K136</f>
        <v>103200</v>
      </c>
    </row>
    <row r="25" spans="1:11" x14ac:dyDescent="0.25">
      <c r="A25" s="22" t="s">
        <v>35</v>
      </c>
      <c r="B25" s="22" t="s">
        <v>36</v>
      </c>
      <c r="C25" s="70">
        <v>-1208243.96</v>
      </c>
      <c r="D25" s="70">
        <v>-3906497.12</v>
      </c>
      <c r="E25" s="70">
        <v>69.069999999999993</v>
      </c>
      <c r="F25" s="70">
        <v>30.93</v>
      </c>
      <c r="G25" s="70">
        <v>-2698253.16</v>
      </c>
      <c r="H25" s="70">
        <v>-3779107.4809999992</v>
      </c>
      <c r="I25" s="119">
        <f>I198</f>
        <v>-2740483.6359999999</v>
      </c>
      <c r="J25" s="120">
        <f>J198</f>
        <v>-3595194.6691549998</v>
      </c>
      <c r="K25" s="119">
        <f>K198</f>
        <v>-3196683.6267969999</v>
      </c>
    </row>
    <row r="26" spans="1:11" x14ac:dyDescent="0.25">
      <c r="A26" s="22" t="s">
        <v>37</v>
      </c>
      <c r="B26" s="22" t="s">
        <v>38</v>
      </c>
      <c r="H26" s="70">
        <v>0</v>
      </c>
      <c r="I26" s="119">
        <f>I209</f>
        <v>0</v>
      </c>
      <c r="J26" s="120">
        <f>J209</f>
        <v>0</v>
      </c>
      <c r="K26" s="119">
        <f>K209</f>
        <v>0</v>
      </c>
    </row>
    <row r="27" spans="1:11" x14ac:dyDescent="0.25">
      <c r="A27" s="22" t="s">
        <v>39</v>
      </c>
      <c r="B27" s="22" t="s">
        <v>40</v>
      </c>
      <c r="C27" s="70">
        <v>-7971.71</v>
      </c>
      <c r="D27" s="70">
        <v>-33562</v>
      </c>
      <c r="E27" s="70">
        <v>76.25</v>
      </c>
      <c r="F27" s="70">
        <v>23.75</v>
      </c>
      <c r="G27" s="70">
        <v>-25590.29</v>
      </c>
      <c r="H27" s="70">
        <v>-34150.230000000003</v>
      </c>
      <c r="I27" s="119">
        <f>I219</f>
        <v>-33562</v>
      </c>
      <c r="J27" s="120">
        <f>J219</f>
        <v>-33562</v>
      </c>
      <c r="K27" s="119">
        <f>K219</f>
        <v>-33562</v>
      </c>
    </row>
    <row r="28" spans="1:11" x14ac:dyDescent="0.25">
      <c r="A28" s="22" t="s">
        <v>41</v>
      </c>
      <c r="B28" s="22" t="s">
        <v>42</v>
      </c>
      <c r="H28" s="70">
        <v>0</v>
      </c>
      <c r="I28" s="119">
        <f>I223</f>
        <v>0</v>
      </c>
      <c r="J28" s="120">
        <f>J223</f>
        <v>0</v>
      </c>
      <c r="K28" s="119">
        <f>K223</f>
        <v>0</v>
      </c>
    </row>
    <row r="29" spans="1:11" x14ac:dyDescent="0.25">
      <c r="A29" s="22" t="s">
        <v>43</v>
      </c>
      <c r="B29" s="22" t="s">
        <v>44</v>
      </c>
      <c r="H29" s="70">
        <v>0</v>
      </c>
      <c r="I29" s="119">
        <f>I227</f>
        <v>0</v>
      </c>
      <c r="J29" s="120">
        <f>J227</f>
        <v>0</v>
      </c>
      <c r="K29" s="119">
        <f>K227</f>
        <v>0</v>
      </c>
    </row>
    <row r="30" spans="1:11" x14ac:dyDescent="0.25">
      <c r="A30" s="22" t="s">
        <v>12</v>
      </c>
      <c r="B30" s="22" t="s">
        <v>12</v>
      </c>
      <c r="I30" s="119"/>
      <c r="J30" s="120"/>
      <c r="K30" s="119"/>
    </row>
    <row r="31" spans="1:11" ht="15.75" thickBot="1" x14ac:dyDescent="0.3">
      <c r="A31" s="24" t="s">
        <v>45</v>
      </c>
      <c r="B31" s="24" t="s">
        <v>46</v>
      </c>
      <c r="C31" s="72">
        <v>-1322399.23</v>
      </c>
      <c r="D31" s="72">
        <v>-1613595.82</v>
      </c>
      <c r="E31" s="72">
        <v>18.05</v>
      </c>
      <c r="F31" s="72">
        <v>81.95</v>
      </c>
      <c r="G31" s="72">
        <v>-291196.59000000003</v>
      </c>
      <c r="H31" s="72">
        <v>-1630282.3287868788</v>
      </c>
      <c r="I31" s="122">
        <f>I14+I18+I22+I24+I25+I26+I27</f>
        <v>1914111.2062131194</v>
      </c>
      <c r="J31" s="123">
        <f>J14+J22+J24+J25+J26+J27</f>
        <v>1754071.7108450001</v>
      </c>
      <c r="K31" s="123">
        <f>K14+K22+K24+K25+K26+K27</f>
        <v>2152582.7532029999</v>
      </c>
    </row>
    <row r="32" spans="1:11" ht="15.75" thickTop="1" x14ac:dyDescent="0.25">
      <c r="A32" s="22" t="s">
        <v>12</v>
      </c>
      <c r="B32" s="22" t="s">
        <v>12</v>
      </c>
      <c r="I32" s="119"/>
      <c r="J32" s="120"/>
      <c r="K32" s="119"/>
    </row>
    <row r="33" spans="1:14" x14ac:dyDescent="0.25">
      <c r="A33" s="22" t="s">
        <v>47</v>
      </c>
      <c r="B33" s="22" t="s">
        <v>48</v>
      </c>
      <c r="C33" s="70">
        <v>-246196.6</v>
      </c>
      <c r="D33" s="70">
        <v>-612819.68999999994</v>
      </c>
      <c r="E33" s="70">
        <v>59.83</v>
      </c>
      <c r="F33" s="70">
        <v>40.17</v>
      </c>
      <c r="G33" s="70">
        <v>-366623.09</v>
      </c>
      <c r="H33" s="70">
        <v>-460093.5</v>
      </c>
      <c r="I33" s="119">
        <f>I243</f>
        <v>-460093.5</v>
      </c>
      <c r="J33" s="120">
        <f>J243</f>
        <v>-460093.5</v>
      </c>
      <c r="K33" s="119">
        <f>K243</f>
        <v>-552093.5</v>
      </c>
    </row>
    <row r="34" spans="1:14" x14ac:dyDescent="0.25">
      <c r="A34" s="22" t="s">
        <v>12</v>
      </c>
      <c r="B34" s="22" t="s">
        <v>12</v>
      </c>
      <c r="I34" s="119"/>
      <c r="J34" s="120"/>
      <c r="K34" s="119"/>
    </row>
    <row r="35" spans="1:14" ht="15.75" thickBot="1" x14ac:dyDescent="0.3">
      <c r="A35" s="24" t="s">
        <v>12</v>
      </c>
      <c r="B35" s="24" t="s">
        <v>49</v>
      </c>
      <c r="C35" s="72">
        <v>-1568595.83</v>
      </c>
      <c r="D35" s="72">
        <v>-2226415.5099999998</v>
      </c>
      <c r="E35" s="72">
        <v>29.55</v>
      </c>
      <c r="F35" s="72">
        <v>70.45</v>
      </c>
      <c r="G35" s="72">
        <v>-657819.68000000005</v>
      </c>
      <c r="H35" s="72">
        <v>-2090375.8287868788</v>
      </c>
      <c r="I35" s="122">
        <f>I31+I33</f>
        <v>1454017.7062131194</v>
      </c>
      <c r="J35" s="123">
        <f>J31+J33</f>
        <v>1293978.2108450001</v>
      </c>
      <c r="K35" s="122">
        <f>K31+K33</f>
        <v>1600489.2532029999</v>
      </c>
    </row>
    <row r="36" spans="1:14" ht="15.75" thickTop="1" x14ac:dyDescent="0.25">
      <c r="A36" s="22" t="s">
        <v>12</v>
      </c>
      <c r="B36" s="22" t="s">
        <v>12</v>
      </c>
    </row>
    <row r="37" spans="1:14" x14ac:dyDescent="0.25">
      <c r="A37" s="23" t="s">
        <v>12</v>
      </c>
      <c r="B37" s="23" t="s">
        <v>50</v>
      </c>
      <c r="C37" s="71"/>
      <c r="D37" s="71"/>
      <c r="E37" s="71"/>
      <c r="F37" s="71"/>
      <c r="G37" s="71"/>
      <c r="H37" s="71"/>
      <c r="I37" s="90"/>
      <c r="J37" s="104"/>
      <c r="K37" s="90"/>
    </row>
    <row r="38" spans="1:14" x14ac:dyDescent="0.25">
      <c r="A38" s="22" t="s">
        <v>12</v>
      </c>
      <c r="B38" s="22" t="s">
        <v>12</v>
      </c>
    </row>
    <row r="39" spans="1:14" x14ac:dyDescent="0.25">
      <c r="A39" s="23" t="s">
        <v>51</v>
      </c>
      <c r="B39" s="23" t="s">
        <v>52</v>
      </c>
      <c r="C39" s="71"/>
      <c r="D39" s="71"/>
      <c r="E39" s="71"/>
      <c r="F39" s="71"/>
      <c r="G39" s="71"/>
      <c r="H39" s="71"/>
      <c r="I39" s="90"/>
      <c r="J39" s="104"/>
      <c r="K39" s="90"/>
    </row>
    <row r="40" spans="1:14" x14ac:dyDescent="0.25">
      <c r="A40" s="22" t="s">
        <v>53</v>
      </c>
      <c r="B40" s="22" t="s">
        <v>54</v>
      </c>
      <c r="C40" s="70">
        <v>4329773.8600000003</v>
      </c>
      <c r="D40" s="70">
        <v>9729695.75</v>
      </c>
      <c r="E40" s="70">
        <v>55.5</v>
      </c>
      <c r="F40" s="70">
        <v>44.5</v>
      </c>
      <c r="G40" s="70">
        <v>5399921.8899999997</v>
      </c>
      <c r="H40" s="70">
        <v>8436188.9933341667</v>
      </c>
      <c r="I40" s="103">
        <f>DATAARK!D29</f>
        <v>8436188.9933341667</v>
      </c>
      <c r="J40" s="107">
        <f>DATAARK!F8</f>
        <v>9053391</v>
      </c>
      <c r="K40" s="107">
        <f>DATAARK!F9</f>
        <v>9053391</v>
      </c>
      <c r="N40" s="40">
        <f t="shared" ref="N40:N45" si="0">IF(J40&gt;0,0,2)</f>
        <v>0</v>
      </c>
    </row>
    <row r="41" spans="1:14" x14ac:dyDescent="0.25">
      <c r="A41" s="22" t="s">
        <v>55</v>
      </c>
      <c r="B41" s="22" t="s">
        <v>56</v>
      </c>
      <c r="C41" s="70">
        <v>9089.2900000000009</v>
      </c>
      <c r="D41" s="70">
        <v>620490</v>
      </c>
      <c r="E41" s="70">
        <v>98.54</v>
      </c>
      <c r="F41" s="70">
        <v>1.46</v>
      </c>
      <c r="G41" s="70">
        <v>611400.71</v>
      </c>
      <c r="H41" s="70">
        <v>196283.76887895408</v>
      </c>
      <c r="I41" s="103">
        <f>DATAARK!D43</f>
        <v>196283.76887895408</v>
      </c>
      <c r="J41" s="107">
        <f>DATAARK!F14</f>
        <v>458208</v>
      </c>
      <c r="K41" s="107">
        <f>DATAARK!F15</f>
        <v>458208</v>
      </c>
      <c r="N41" s="40">
        <f t="shared" si="0"/>
        <v>0</v>
      </c>
    </row>
    <row r="42" spans="1:14" x14ac:dyDescent="0.25">
      <c r="A42" s="22" t="s">
        <v>57</v>
      </c>
      <c r="B42" s="22" t="s">
        <v>58</v>
      </c>
      <c r="C42" s="70">
        <v>16097.75</v>
      </c>
      <c r="G42" s="70">
        <v>-16097.75</v>
      </c>
      <c r="N42" s="40">
        <f t="shared" si="0"/>
        <v>2</v>
      </c>
    </row>
    <row r="43" spans="1:14" x14ac:dyDescent="0.25">
      <c r="A43" s="22" t="s">
        <v>59</v>
      </c>
      <c r="B43" s="22" t="s">
        <v>60</v>
      </c>
      <c r="C43" s="70">
        <v>1439.4</v>
      </c>
      <c r="D43" s="70">
        <v>24924.55</v>
      </c>
      <c r="E43" s="70">
        <v>94.22</v>
      </c>
      <c r="F43" s="70">
        <v>5.78</v>
      </c>
      <c r="G43" s="70">
        <v>23485.15</v>
      </c>
      <c r="N43" s="40">
        <f t="shared" si="0"/>
        <v>2</v>
      </c>
    </row>
    <row r="44" spans="1:14" x14ac:dyDescent="0.25">
      <c r="A44" s="22" t="s">
        <v>61</v>
      </c>
      <c r="B44" s="22" t="s">
        <v>62</v>
      </c>
      <c r="C44" s="70">
        <v>880710</v>
      </c>
      <c r="D44" s="70">
        <v>1761420</v>
      </c>
      <c r="E44" s="70">
        <v>50</v>
      </c>
      <c r="F44" s="70">
        <v>50</v>
      </c>
      <c r="G44" s="70">
        <v>880710</v>
      </c>
      <c r="H44" s="70">
        <v>1761420</v>
      </c>
      <c r="I44" s="103">
        <v>1761420</v>
      </c>
      <c r="J44" s="108">
        <f>DATAARK!F10</f>
        <v>1761420</v>
      </c>
      <c r="K44" s="109">
        <f>DATAARK!F11</f>
        <v>1761420</v>
      </c>
      <c r="N44" s="40">
        <f t="shared" si="0"/>
        <v>0</v>
      </c>
    </row>
    <row r="45" spans="1:14" x14ac:dyDescent="0.25">
      <c r="A45" s="22" t="s">
        <v>63</v>
      </c>
      <c r="B45" s="22" t="s">
        <v>64</v>
      </c>
      <c r="C45" s="70">
        <v>184454.7</v>
      </c>
      <c r="D45" s="70">
        <v>45410</v>
      </c>
      <c r="E45" s="70">
        <v>-306.2</v>
      </c>
      <c r="F45" s="70">
        <v>406.2</v>
      </c>
      <c r="G45" s="70">
        <v>-139044.70000000001</v>
      </c>
      <c r="H45" s="70">
        <v>184454.7</v>
      </c>
      <c r="I45" s="103">
        <f>C45</f>
        <v>184454.7</v>
      </c>
      <c r="J45" s="108">
        <f>DATAARK!F12</f>
        <v>0</v>
      </c>
      <c r="K45" s="109">
        <f>DATAARK!F13</f>
        <v>0</v>
      </c>
      <c r="N45" s="40">
        <f t="shared" si="0"/>
        <v>2</v>
      </c>
    </row>
    <row r="46" spans="1:14" x14ac:dyDescent="0.25">
      <c r="A46" s="23" t="s">
        <v>65</v>
      </c>
      <c r="B46" s="23" t="s">
        <v>66</v>
      </c>
      <c r="C46" s="71">
        <v>5421565</v>
      </c>
      <c r="D46" s="71">
        <v>12181940.300000001</v>
      </c>
      <c r="E46" s="71">
        <v>55.5</v>
      </c>
      <c r="F46" s="71">
        <v>44.5</v>
      </c>
      <c r="G46" s="71">
        <v>6760375.2999999998</v>
      </c>
      <c r="H46" s="71">
        <v>10578347.462213119</v>
      </c>
      <c r="I46" s="90">
        <f>SUM(I40:I45)</f>
        <v>10578347.462213119</v>
      </c>
      <c r="J46" s="104">
        <f>SUM(J40:J45)</f>
        <v>11273019</v>
      </c>
      <c r="K46" s="90">
        <f>SUM(K40:K45)</f>
        <v>11273019</v>
      </c>
    </row>
    <row r="47" spans="1:14" x14ac:dyDescent="0.25">
      <c r="A47" s="22" t="s">
        <v>12</v>
      </c>
      <c r="B47" s="22" t="s">
        <v>12</v>
      </c>
    </row>
    <row r="48" spans="1:14" x14ac:dyDescent="0.25">
      <c r="A48" s="23" t="s">
        <v>67</v>
      </c>
      <c r="B48" s="23" t="s">
        <v>68</v>
      </c>
      <c r="C48" s="71"/>
      <c r="D48" s="71"/>
      <c r="E48" s="71"/>
      <c r="F48" s="71"/>
      <c r="G48" s="71"/>
      <c r="H48" s="71"/>
      <c r="I48" s="90"/>
      <c r="J48" s="104"/>
      <c r="K48" s="90"/>
    </row>
    <row r="49" spans="1:14" x14ac:dyDescent="0.25">
      <c r="A49" s="22" t="s">
        <v>69</v>
      </c>
      <c r="B49" s="22" t="s">
        <v>70</v>
      </c>
      <c r="J49" s="102">
        <f>I49*DATAARK!$B$3</f>
        <v>0</v>
      </c>
      <c r="K49" s="102">
        <f>J49*DATAARK!$C$3</f>
        <v>0</v>
      </c>
      <c r="N49" s="40">
        <f t="shared" ref="N49:N58" si="1">IF(J49&gt;0,0,2)</f>
        <v>2</v>
      </c>
    </row>
    <row r="50" spans="1:14" x14ac:dyDescent="0.25">
      <c r="A50" s="22" t="s">
        <v>71</v>
      </c>
      <c r="B50" s="22" t="s">
        <v>72</v>
      </c>
      <c r="C50" s="70">
        <v>13045.4</v>
      </c>
      <c r="G50" s="70">
        <v>-13045.4</v>
      </c>
      <c r="H50" s="70">
        <v>13045.4</v>
      </c>
      <c r="J50" s="102">
        <f>I50*DATAARK!$B$3</f>
        <v>0</v>
      </c>
      <c r="K50" s="102">
        <f>J50*DATAARK!$C$3</f>
        <v>0</v>
      </c>
      <c r="N50" s="40">
        <f t="shared" si="1"/>
        <v>2</v>
      </c>
    </row>
    <row r="51" spans="1:14" x14ac:dyDescent="0.25">
      <c r="A51" s="22" t="s">
        <v>73</v>
      </c>
      <c r="B51" s="22" t="s">
        <v>74</v>
      </c>
      <c r="J51" s="102">
        <f>I51*DATAARK!$B$3</f>
        <v>0</v>
      </c>
      <c r="K51" s="102">
        <f>J51*DATAARK!$C$3</f>
        <v>0</v>
      </c>
      <c r="N51" s="40">
        <f t="shared" si="1"/>
        <v>2</v>
      </c>
    </row>
    <row r="52" spans="1:14" x14ac:dyDescent="0.25">
      <c r="A52" s="22" t="s">
        <v>75</v>
      </c>
      <c r="B52" s="22" t="s">
        <v>76</v>
      </c>
      <c r="C52" s="70">
        <v>105882</v>
      </c>
      <c r="G52" s="70">
        <v>-105882</v>
      </c>
      <c r="H52" s="70">
        <v>105882</v>
      </c>
      <c r="I52" s="103">
        <f>C52</f>
        <v>105882</v>
      </c>
      <c r="J52" s="102">
        <f>I52*DATAARK!$B$3</f>
        <v>105882</v>
      </c>
      <c r="K52" s="102">
        <f>J52*DATAARK!$C$3</f>
        <v>105882</v>
      </c>
      <c r="N52" s="40">
        <f t="shared" si="1"/>
        <v>0</v>
      </c>
    </row>
    <row r="53" spans="1:14" x14ac:dyDescent="0.25">
      <c r="A53" s="22" t="s">
        <v>77</v>
      </c>
      <c r="B53" s="22" t="s">
        <v>78</v>
      </c>
      <c r="C53" s="70">
        <v>4800</v>
      </c>
      <c r="D53" s="70">
        <v>10000</v>
      </c>
      <c r="E53" s="70">
        <v>52</v>
      </c>
      <c r="F53" s="70">
        <v>48</v>
      </c>
      <c r="G53" s="70">
        <v>5200</v>
      </c>
      <c r="H53" s="70">
        <v>10000</v>
      </c>
      <c r="I53" s="103">
        <v>10000</v>
      </c>
      <c r="J53" s="102">
        <f>I53*DATAARK!$B$3</f>
        <v>10000</v>
      </c>
      <c r="K53" s="102">
        <f>J53*DATAARK!$C$3</f>
        <v>10000</v>
      </c>
      <c r="N53" s="40">
        <f t="shared" si="1"/>
        <v>0</v>
      </c>
    </row>
    <row r="54" spans="1:14" x14ac:dyDescent="0.25">
      <c r="A54" s="22" t="s">
        <v>79</v>
      </c>
      <c r="B54" s="22" t="s">
        <v>80</v>
      </c>
      <c r="J54" s="102">
        <f>I54*DATAARK!$B$3</f>
        <v>0</v>
      </c>
      <c r="K54" s="102">
        <f>J54*DATAARK!$C$3</f>
        <v>0</v>
      </c>
      <c r="N54" s="40">
        <f t="shared" si="1"/>
        <v>2</v>
      </c>
    </row>
    <row r="55" spans="1:14" x14ac:dyDescent="0.25">
      <c r="A55" s="22" t="s">
        <v>81</v>
      </c>
      <c r="B55" s="22" t="s">
        <v>82</v>
      </c>
      <c r="C55" s="70">
        <v>2896.8</v>
      </c>
      <c r="D55" s="70">
        <v>24000</v>
      </c>
      <c r="E55" s="70">
        <v>87.93</v>
      </c>
      <c r="F55" s="70">
        <v>12.07</v>
      </c>
      <c r="G55" s="70">
        <v>21103.200000000001</v>
      </c>
      <c r="H55" s="70">
        <v>24000</v>
      </c>
      <c r="I55" s="103">
        <v>24000</v>
      </c>
      <c r="J55" s="102">
        <f>I55*DATAARK!$B$3</f>
        <v>24000</v>
      </c>
      <c r="K55" s="102">
        <f>J55*DATAARK!$C$3</f>
        <v>24000</v>
      </c>
      <c r="N55" s="40">
        <f t="shared" si="1"/>
        <v>0</v>
      </c>
    </row>
    <row r="56" spans="1:14" x14ac:dyDescent="0.25">
      <c r="A56" s="22" t="s">
        <v>83</v>
      </c>
      <c r="B56" s="22" t="s">
        <v>84</v>
      </c>
      <c r="C56" s="70">
        <v>-545</v>
      </c>
      <c r="D56" s="70">
        <v>350000</v>
      </c>
      <c r="E56" s="70">
        <v>100.16</v>
      </c>
      <c r="F56" s="70">
        <v>-0.16</v>
      </c>
      <c r="G56" s="70">
        <v>350545</v>
      </c>
      <c r="H56" s="70">
        <v>350000</v>
      </c>
      <c r="I56" s="103">
        <v>350000</v>
      </c>
      <c r="J56" s="102">
        <f>I56*DATAARK!$B$3</f>
        <v>350000</v>
      </c>
      <c r="K56" s="102">
        <f>J56*DATAARK!$C$3</f>
        <v>350000</v>
      </c>
      <c r="N56" s="40">
        <f t="shared" si="1"/>
        <v>0</v>
      </c>
    </row>
    <row r="57" spans="1:14" x14ac:dyDescent="0.25">
      <c r="A57" s="22" t="s">
        <v>85</v>
      </c>
      <c r="B57" s="22" t="s">
        <v>86</v>
      </c>
      <c r="C57" s="70">
        <v>250</v>
      </c>
      <c r="G57" s="70">
        <v>-250</v>
      </c>
      <c r="H57" s="70">
        <v>250</v>
      </c>
      <c r="I57" s="103">
        <f>C57</f>
        <v>250</v>
      </c>
      <c r="J57" s="102">
        <f>I57*DATAARK!$B$3</f>
        <v>250</v>
      </c>
      <c r="K57" s="102">
        <f>J57*DATAARK!$C$3</f>
        <v>250</v>
      </c>
      <c r="N57" s="40">
        <f t="shared" si="1"/>
        <v>0</v>
      </c>
    </row>
    <row r="58" spans="1:14" x14ac:dyDescent="0.25">
      <c r="A58" s="22" t="s">
        <v>87</v>
      </c>
      <c r="B58" s="22" t="s">
        <v>88</v>
      </c>
      <c r="C58" s="70">
        <v>4800</v>
      </c>
      <c r="D58" s="70">
        <v>177480</v>
      </c>
      <c r="E58" s="70">
        <v>97.3</v>
      </c>
      <c r="F58" s="70">
        <v>2.7</v>
      </c>
      <c r="G58" s="70">
        <v>172680</v>
      </c>
      <c r="H58" s="70">
        <v>177480</v>
      </c>
      <c r="I58" s="103">
        <v>177480</v>
      </c>
      <c r="J58" s="102">
        <f>I58*DATAARK!$B$3</f>
        <v>177480</v>
      </c>
      <c r="K58" s="102">
        <f>J58*DATAARK!$C$3</f>
        <v>177480</v>
      </c>
      <c r="N58" s="40">
        <f t="shared" si="1"/>
        <v>0</v>
      </c>
    </row>
    <row r="59" spans="1:14" x14ac:dyDescent="0.25">
      <c r="A59" s="23" t="s">
        <v>89</v>
      </c>
      <c r="B59" s="23" t="s">
        <v>17</v>
      </c>
      <c r="C59" s="71">
        <v>131129.20000000001</v>
      </c>
      <c r="D59" s="71">
        <v>561480</v>
      </c>
      <c r="E59" s="71">
        <v>76.650000000000006</v>
      </c>
      <c r="F59" s="71">
        <v>23.35</v>
      </c>
      <c r="G59" s="71">
        <v>430350.8</v>
      </c>
      <c r="H59" s="71">
        <v>680657.4</v>
      </c>
      <c r="I59" s="90">
        <f>SUM(I49:I58)</f>
        <v>667612</v>
      </c>
      <c r="J59" s="90">
        <f>SUM(J49:J58)</f>
        <v>667612</v>
      </c>
      <c r="K59" s="90">
        <f>SUM(K49:K58)</f>
        <v>667612</v>
      </c>
    </row>
    <row r="60" spans="1:14" x14ac:dyDescent="0.25">
      <c r="A60" s="22" t="s">
        <v>12</v>
      </c>
      <c r="B60" s="22" t="s">
        <v>12</v>
      </c>
      <c r="J60" s="102">
        <v>0</v>
      </c>
    </row>
    <row r="61" spans="1:14" x14ac:dyDescent="0.25">
      <c r="A61" s="23" t="s">
        <v>90</v>
      </c>
      <c r="B61" s="23" t="s">
        <v>91</v>
      </c>
      <c r="C61" s="71"/>
      <c r="D61" s="71"/>
      <c r="E61" s="71"/>
      <c r="F61" s="71"/>
      <c r="G61" s="71"/>
      <c r="H61" s="71"/>
      <c r="I61" s="90"/>
      <c r="J61" s="102">
        <v>0</v>
      </c>
      <c r="K61" s="90"/>
    </row>
    <row r="62" spans="1:14" x14ac:dyDescent="0.25">
      <c r="A62" s="22" t="s">
        <v>92</v>
      </c>
      <c r="B62" s="22" t="s">
        <v>93</v>
      </c>
      <c r="C62" s="70">
        <v>25544.75</v>
      </c>
      <c r="G62" s="70">
        <v>-25544.75</v>
      </c>
      <c r="H62" s="70">
        <v>51089.5</v>
      </c>
      <c r="I62" s="103">
        <f>C62*2</f>
        <v>51089.5</v>
      </c>
      <c r="J62" s="102">
        <f>I62*DATAARK!$B$3</f>
        <v>51089.5</v>
      </c>
      <c r="K62" s="102">
        <f>J62*DATAARK!$C$3</f>
        <v>51089.5</v>
      </c>
      <c r="N62" s="40">
        <f>IF(J62&gt;0,0,2)</f>
        <v>0</v>
      </c>
    </row>
    <row r="63" spans="1:14" x14ac:dyDescent="0.25">
      <c r="A63" s="23" t="s">
        <v>94</v>
      </c>
      <c r="B63" s="23" t="s">
        <v>95</v>
      </c>
      <c r="C63" s="71">
        <v>25544.75</v>
      </c>
      <c r="D63" s="71"/>
      <c r="E63" s="71"/>
      <c r="F63" s="71"/>
      <c r="G63" s="71">
        <v>-25544.75</v>
      </c>
      <c r="H63" s="71">
        <v>51089.5</v>
      </c>
      <c r="I63" s="90">
        <f>I62</f>
        <v>51089.5</v>
      </c>
      <c r="J63" s="90">
        <f>J62</f>
        <v>51089.5</v>
      </c>
      <c r="K63" s="90">
        <f>K62</f>
        <v>51089.5</v>
      </c>
    </row>
    <row r="64" spans="1:14" x14ac:dyDescent="0.25">
      <c r="A64" s="22" t="s">
        <v>12</v>
      </c>
      <c r="B64" s="22" t="s">
        <v>12</v>
      </c>
    </row>
    <row r="65" spans="1:14" x14ac:dyDescent="0.25">
      <c r="A65" s="23" t="s">
        <v>96</v>
      </c>
      <c r="B65" s="23" t="s">
        <v>97</v>
      </c>
      <c r="C65" s="71">
        <v>5578238.9500000002</v>
      </c>
      <c r="D65" s="71">
        <v>12743420.300000001</v>
      </c>
      <c r="E65" s="71">
        <v>56.23</v>
      </c>
      <c r="F65" s="71">
        <v>43.77</v>
      </c>
      <c r="G65" s="71">
        <v>7165181.3499999996</v>
      </c>
      <c r="H65" s="71">
        <v>11310094.36221312</v>
      </c>
      <c r="I65" s="90">
        <f>I63+I59+I46</f>
        <v>11297048.962213119</v>
      </c>
      <c r="J65" s="90">
        <f>J46+J59+J63</f>
        <v>11991720.5</v>
      </c>
      <c r="K65" s="90">
        <f>K46+K59+K63</f>
        <v>11991720.5</v>
      </c>
    </row>
    <row r="66" spans="1:14" x14ac:dyDescent="0.25">
      <c r="A66" s="22" t="s">
        <v>12</v>
      </c>
      <c r="B66" s="22" t="s">
        <v>12</v>
      </c>
    </row>
    <row r="67" spans="1:14" x14ac:dyDescent="0.25">
      <c r="A67" s="23" t="s">
        <v>98</v>
      </c>
      <c r="B67" s="23" t="s">
        <v>99</v>
      </c>
      <c r="C67" s="71"/>
      <c r="D67" s="71"/>
      <c r="E67" s="71"/>
      <c r="F67" s="71"/>
      <c r="G67" s="71"/>
      <c r="H67" s="71"/>
      <c r="I67" s="90"/>
      <c r="J67" s="104"/>
      <c r="K67" s="90"/>
    </row>
    <row r="68" spans="1:14" x14ac:dyDescent="0.25">
      <c r="A68" s="22" t="s">
        <v>100</v>
      </c>
      <c r="B68" s="22" t="s">
        <v>101</v>
      </c>
      <c r="J68" s="102">
        <f>I68*DATAARK!$B$3</f>
        <v>0</v>
      </c>
      <c r="K68" s="102">
        <f>J68*DATAARK!$C$3</f>
        <v>0</v>
      </c>
      <c r="N68" s="40">
        <f>IF(J68&gt;0,1,0)</f>
        <v>0</v>
      </c>
    </row>
    <row r="69" spans="1:14" x14ac:dyDescent="0.25">
      <c r="A69" s="22" t="s">
        <v>102</v>
      </c>
      <c r="B69" s="22" t="s">
        <v>103</v>
      </c>
      <c r="J69" s="102">
        <f>I69*DATAARK!$B$3</f>
        <v>0</v>
      </c>
      <c r="K69" s="102">
        <f>J69*DATAARK!$C$3</f>
        <v>0</v>
      </c>
      <c r="N69" s="40">
        <f>IF(J69&gt;0,1,0)</f>
        <v>0</v>
      </c>
    </row>
    <row r="70" spans="1:14" x14ac:dyDescent="0.25">
      <c r="A70" s="23" t="s">
        <v>104</v>
      </c>
      <c r="B70" s="23" t="s">
        <v>105</v>
      </c>
      <c r="C70" s="71"/>
      <c r="D70" s="71"/>
      <c r="E70" s="71"/>
      <c r="F70" s="71"/>
      <c r="G70" s="71"/>
      <c r="H70" s="71"/>
      <c r="I70" s="90"/>
      <c r="J70" s="104"/>
      <c r="K70" s="90"/>
    </row>
    <row r="71" spans="1:14" x14ac:dyDescent="0.25">
      <c r="A71" s="22" t="s">
        <v>12</v>
      </c>
      <c r="B71" s="22" t="s">
        <v>12</v>
      </c>
    </row>
    <row r="72" spans="1:14" x14ac:dyDescent="0.25">
      <c r="A72" s="23" t="s">
        <v>106</v>
      </c>
      <c r="B72" s="23" t="s">
        <v>107</v>
      </c>
      <c r="C72" s="71"/>
      <c r="D72" s="71"/>
      <c r="E72" s="71"/>
      <c r="F72" s="71"/>
      <c r="G72" s="71"/>
      <c r="H72" s="71"/>
      <c r="I72" s="90"/>
      <c r="J72" s="104"/>
      <c r="K72" s="90"/>
    </row>
    <row r="73" spans="1:14" x14ac:dyDescent="0.25">
      <c r="A73" s="22" t="s">
        <v>108</v>
      </c>
      <c r="B73" s="22" t="s">
        <v>109</v>
      </c>
      <c r="J73" s="102">
        <f>I73*DATAARK!$B$3</f>
        <v>0</v>
      </c>
      <c r="K73" s="102">
        <f>J73*DATAARK!$C$3</f>
        <v>0</v>
      </c>
      <c r="N73" s="40">
        <f>IF(J73&gt;0,1,0)</f>
        <v>0</v>
      </c>
    </row>
    <row r="74" spans="1:14" x14ac:dyDescent="0.25">
      <c r="A74" s="22" t="s">
        <v>110</v>
      </c>
      <c r="B74" s="22" t="s">
        <v>111</v>
      </c>
      <c r="J74" s="102">
        <f>I74*DATAARK!$B$3</f>
        <v>0</v>
      </c>
      <c r="K74" s="102">
        <f>J74*DATAARK!$C$3</f>
        <v>0</v>
      </c>
      <c r="N74" s="40">
        <f>IF(J74&gt;0,1,0)</f>
        <v>0</v>
      </c>
    </row>
    <row r="75" spans="1:14" x14ac:dyDescent="0.25">
      <c r="A75" s="22" t="s">
        <v>112</v>
      </c>
      <c r="B75" s="22" t="s">
        <v>113</v>
      </c>
      <c r="C75" s="70">
        <v>-4181</v>
      </c>
      <c r="G75" s="70">
        <v>4181</v>
      </c>
      <c r="H75" s="70">
        <v>-4181</v>
      </c>
      <c r="I75" s="103">
        <f>C75</f>
        <v>-4181</v>
      </c>
      <c r="J75" s="102">
        <f>I75*DATAARK!$B$3</f>
        <v>-4181</v>
      </c>
      <c r="K75" s="102">
        <f>J75*DATAARK!$C$3</f>
        <v>-4181</v>
      </c>
      <c r="N75" s="40">
        <f>IF(J75&gt;0,1,0)</f>
        <v>0</v>
      </c>
    </row>
    <row r="76" spans="1:14" x14ac:dyDescent="0.25">
      <c r="A76" s="22" t="s">
        <v>114</v>
      </c>
      <c r="B76" s="22" t="s">
        <v>115</v>
      </c>
      <c r="C76" s="70">
        <v>-84746.33</v>
      </c>
      <c r="D76" s="70">
        <v>-309146</v>
      </c>
      <c r="E76" s="70">
        <v>72.59</v>
      </c>
      <c r="F76" s="70">
        <v>27.41</v>
      </c>
      <c r="G76" s="70">
        <v>-224399.67</v>
      </c>
      <c r="H76" s="70">
        <v>-309146</v>
      </c>
      <c r="I76" s="103">
        <v>-309146</v>
      </c>
      <c r="J76" s="102">
        <f>I76*DATAARK!$B$3</f>
        <v>-309146</v>
      </c>
      <c r="K76" s="102">
        <f>J76*DATAARK!$C$3</f>
        <v>-309146</v>
      </c>
      <c r="N76" s="40">
        <f>IF(J76&gt;0,1,0)</f>
        <v>0</v>
      </c>
    </row>
    <row r="77" spans="1:14" x14ac:dyDescent="0.25">
      <c r="A77" s="23" t="s">
        <v>116</v>
      </c>
      <c r="B77" s="23" t="s">
        <v>117</v>
      </c>
      <c r="C77" s="71">
        <v>-88927.33</v>
      </c>
      <c r="D77" s="71">
        <v>-309146</v>
      </c>
      <c r="E77" s="71">
        <v>71.23</v>
      </c>
      <c r="F77" s="71">
        <v>28.77</v>
      </c>
      <c r="G77" s="71">
        <v>-220218.67</v>
      </c>
      <c r="H77" s="71">
        <v>-313327</v>
      </c>
      <c r="I77" s="90">
        <f>SUM(I73:I76)</f>
        <v>-313327</v>
      </c>
      <c r="J77" s="104">
        <f>SUM(J73:J76)</f>
        <v>-313327</v>
      </c>
      <c r="K77" s="90">
        <f>SUM(K73:K76)</f>
        <v>-313327</v>
      </c>
    </row>
    <row r="78" spans="1:14" x14ac:dyDescent="0.25">
      <c r="A78" s="22" t="s">
        <v>12</v>
      </c>
      <c r="B78" s="22" t="s">
        <v>12</v>
      </c>
    </row>
    <row r="79" spans="1:14" x14ac:dyDescent="0.25">
      <c r="A79" s="23" t="s">
        <v>118</v>
      </c>
      <c r="B79" s="23" t="s">
        <v>119</v>
      </c>
      <c r="C79" s="71"/>
      <c r="D79" s="71"/>
      <c r="E79" s="71"/>
      <c r="F79" s="71"/>
      <c r="G79" s="71"/>
      <c r="H79" s="71"/>
      <c r="I79" s="90"/>
      <c r="J79" s="104"/>
      <c r="K79" s="90"/>
    </row>
    <row r="80" spans="1:14" x14ac:dyDescent="0.25">
      <c r="A80" s="22" t="s">
        <v>120</v>
      </c>
      <c r="B80" s="22" t="s">
        <v>121</v>
      </c>
      <c r="N80" s="40">
        <f>IF(J80&gt;0,1,0)</f>
        <v>0</v>
      </c>
    </row>
    <row r="81" spans="1:14" x14ac:dyDescent="0.25">
      <c r="A81" s="22" t="s">
        <v>122</v>
      </c>
      <c r="B81" s="22" t="s">
        <v>123</v>
      </c>
      <c r="N81" s="40">
        <f>IF(J81&gt;0,1,0)</f>
        <v>0</v>
      </c>
    </row>
    <row r="82" spans="1:14" x14ac:dyDescent="0.25">
      <c r="A82" s="23" t="s">
        <v>124</v>
      </c>
      <c r="B82" s="23" t="s">
        <v>125</v>
      </c>
      <c r="C82" s="71"/>
      <c r="D82" s="71"/>
      <c r="E82" s="71"/>
      <c r="F82" s="71"/>
      <c r="G82" s="71"/>
      <c r="H82" s="71">
        <v>0</v>
      </c>
      <c r="I82" s="90">
        <f>I80+I81</f>
        <v>0</v>
      </c>
      <c r="J82" s="104"/>
      <c r="K82" s="90"/>
    </row>
    <row r="83" spans="1:14" x14ac:dyDescent="0.25">
      <c r="A83" s="22" t="s">
        <v>12</v>
      </c>
      <c r="B83" s="22" t="s">
        <v>12</v>
      </c>
    </row>
    <row r="84" spans="1:14" x14ac:dyDescent="0.25">
      <c r="A84" s="23" t="s">
        <v>126</v>
      </c>
      <c r="B84" s="23" t="s">
        <v>30</v>
      </c>
      <c r="C84" s="71"/>
      <c r="D84" s="71"/>
      <c r="E84" s="71"/>
      <c r="F84" s="71"/>
      <c r="G84" s="71"/>
      <c r="H84" s="71"/>
      <c r="I84" s="90"/>
      <c r="J84" s="104"/>
      <c r="K84" s="90"/>
    </row>
    <row r="85" spans="1:14" x14ac:dyDescent="0.25">
      <c r="A85" s="22" t="s">
        <v>127</v>
      </c>
      <c r="B85" s="22" t="s">
        <v>128</v>
      </c>
      <c r="J85" s="102">
        <f>I85*DATAARK!$B$4</f>
        <v>0</v>
      </c>
      <c r="K85" s="102">
        <f>J85*DATAARK!$C$4</f>
        <v>0</v>
      </c>
      <c r="N85" s="40">
        <f t="shared" ref="N85:N106" si="2">IF(J85&gt;0,1,0)</f>
        <v>0</v>
      </c>
    </row>
    <row r="86" spans="1:14" x14ac:dyDescent="0.25">
      <c r="A86" s="22" t="s">
        <v>129</v>
      </c>
      <c r="B86" s="22" t="s">
        <v>130</v>
      </c>
      <c r="D86" s="70">
        <v>-123552</v>
      </c>
      <c r="E86" s="70">
        <v>100</v>
      </c>
      <c r="G86" s="70">
        <v>-123552</v>
      </c>
      <c r="H86" s="70">
        <v>0</v>
      </c>
      <c r="I86" s="103">
        <v>0</v>
      </c>
      <c r="J86" s="102">
        <f>I86*DATAARK!$B$4</f>
        <v>0</v>
      </c>
      <c r="K86" s="102">
        <f>J86*DATAARK!$C$4</f>
        <v>0</v>
      </c>
      <c r="N86" s="40">
        <f t="shared" si="2"/>
        <v>0</v>
      </c>
    </row>
    <row r="87" spans="1:14" x14ac:dyDescent="0.25">
      <c r="A87" s="22" t="s">
        <v>131</v>
      </c>
      <c r="B87" s="22" t="s">
        <v>132</v>
      </c>
      <c r="J87" s="102">
        <f>I87*DATAARK!$B$4</f>
        <v>0</v>
      </c>
      <c r="K87" s="102">
        <f>J87*DATAARK!$C$4</f>
        <v>0</v>
      </c>
      <c r="N87" s="40">
        <f t="shared" si="2"/>
        <v>0</v>
      </c>
    </row>
    <row r="88" spans="1:14" x14ac:dyDescent="0.25">
      <c r="A88" s="22" t="s">
        <v>133</v>
      </c>
      <c r="B88" s="22" t="s">
        <v>134</v>
      </c>
      <c r="C88" s="70">
        <v>-6575.62</v>
      </c>
      <c r="G88" s="70">
        <v>6575.62</v>
      </c>
      <c r="H88" s="70">
        <v>-6575.62</v>
      </c>
      <c r="J88" s="102">
        <f>I88*DATAARK!$B$4</f>
        <v>0</v>
      </c>
      <c r="K88" s="102">
        <f>J88*DATAARK!$C$4</f>
        <v>0</v>
      </c>
      <c r="N88" s="40">
        <f t="shared" si="2"/>
        <v>0</v>
      </c>
    </row>
    <row r="89" spans="1:14" x14ac:dyDescent="0.25">
      <c r="A89" s="22" t="s">
        <v>135</v>
      </c>
      <c r="B89" s="22" t="s">
        <v>136</v>
      </c>
      <c r="C89" s="70">
        <v>6575.62</v>
      </c>
      <c r="G89" s="70">
        <v>-6575.62</v>
      </c>
      <c r="H89" s="70">
        <v>6575.62</v>
      </c>
      <c r="J89" s="102">
        <f>I89*DATAARK!$B$4</f>
        <v>0</v>
      </c>
      <c r="K89" s="102">
        <f>J89*DATAARK!$C$4</f>
        <v>0</v>
      </c>
      <c r="N89" s="40">
        <f t="shared" si="2"/>
        <v>0</v>
      </c>
    </row>
    <row r="90" spans="1:14" x14ac:dyDescent="0.25">
      <c r="A90" s="22" t="s">
        <v>137</v>
      </c>
      <c r="B90" s="22" t="s">
        <v>138</v>
      </c>
      <c r="C90" s="70">
        <v>-5246377.38</v>
      </c>
      <c r="D90" s="70">
        <v>-8673825.3599999994</v>
      </c>
      <c r="E90" s="70">
        <v>39.51</v>
      </c>
      <c r="F90" s="70">
        <v>60.49</v>
      </c>
      <c r="G90" s="70">
        <v>-3427447.98</v>
      </c>
      <c r="H90" s="70">
        <v>-7931736.9299999997</v>
      </c>
      <c r="I90" s="103">
        <v>-5788020.5099999998</v>
      </c>
      <c r="J90" s="102">
        <f>I90*DATAARK!$B$4</f>
        <v>-5788020.5099999998</v>
      </c>
      <c r="K90" s="102">
        <f>J90*DATAARK!$C$4</f>
        <v>-5788020.5099999998</v>
      </c>
      <c r="N90" s="40">
        <f t="shared" si="2"/>
        <v>0</v>
      </c>
    </row>
    <row r="91" spans="1:14" x14ac:dyDescent="0.25">
      <c r="A91" s="22" t="s">
        <v>139</v>
      </c>
      <c r="B91" s="22" t="s">
        <v>140</v>
      </c>
      <c r="J91" s="102">
        <f>I91*DATAARK!$B$4</f>
        <v>0</v>
      </c>
      <c r="K91" s="102">
        <f>J91*DATAARK!$C$4</f>
        <v>0</v>
      </c>
      <c r="N91" s="40">
        <f t="shared" si="2"/>
        <v>0</v>
      </c>
    </row>
    <row r="92" spans="1:14" x14ac:dyDescent="0.25">
      <c r="A92" s="22" t="s">
        <v>141</v>
      </c>
      <c r="B92" s="22" t="s">
        <v>142</v>
      </c>
      <c r="J92" s="102">
        <f>I92*DATAARK!$B$4</f>
        <v>0</v>
      </c>
      <c r="K92" s="102">
        <f>J92*DATAARK!$C$4</f>
        <v>0</v>
      </c>
      <c r="N92" s="40">
        <f t="shared" si="2"/>
        <v>0</v>
      </c>
    </row>
    <row r="93" spans="1:14" x14ac:dyDescent="0.25">
      <c r="A93" s="22" t="s">
        <v>143</v>
      </c>
      <c r="B93" s="22" t="s">
        <v>144</v>
      </c>
      <c r="J93" s="102">
        <f>I93*DATAARK!$B$4</f>
        <v>0</v>
      </c>
      <c r="K93" s="102">
        <f>J93*DATAARK!$C$4</f>
        <v>0</v>
      </c>
      <c r="N93" s="40">
        <f t="shared" si="2"/>
        <v>0</v>
      </c>
    </row>
    <row r="94" spans="1:14" x14ac:dyDescent="0.25">
      <c r="A94" s="22" t="s">
        <v>145</v>
      </c>
      <c r="B94" s="22" t="s">
        <v>146</v>
      </c>
      <c r="J94" s="102">
        <f>I94*DATAARK!$B$4</f>
        <v>0</v>
      </c>
      <c r="K94" s="102">
        <f>J94*DATAARK!$C$4</f>
        <v>0</v>
      </c>
      <c r="N94" s="40">
        <f t="shared" si="2"/>
        <v>0</v>
      </c>
    </row>
    <row r="95" spans="1:14" x14ac:dyDescent="0.25">
      <c r="A95" s="22" t="s">
        <v>147</v>
      </c>
      <c r="B95" s="22" t="s">
        <v>148</v>
      </c>
      <c r="C95" s="70">
        <v>-2676.79</v>
      </c>
      <c r="G95" s="70">
        <v>2676.79</v>
      </c>
      <c r="H95" s="70">
        <v>-2676.79</v>
      </c>
      <c r="J95" s="102">
        <f>I95*DATAARK!$B$4</f>
        <v>0</v>
      </c>
      <c r="K95" s="102">
        <f>J95*DATAARK!$C$4</f>
        <v>0</v>
      </c>
      <c r="N95" s="40">
        <f t="shared" si="2"/>
        <v>0</v>
      </c>
    </row>
    <row r="96" spans="1:14" x14ac:dyDescent="0.25">
      <c r="A96" s="22" t="s">
        <v>149</v>
      </c>
      <c r="B96" s="22" t="s">
        <v>150</v>
      </c>
      <c r="J96" s="102">
        <f>I96*DATAARK!$B$4</f>
        <v>0</v>
      </c>
      <c r="K96" s="102">
        <f>J96*DATAARK!$C$4</f>
        <v>0</v>
      </c>
      <c r="N96" s="40">
        <f t="shared" si="2"/>
        <v>0</v>
      </c>
    </row>
    <row r="97" spans="1:14" x14ac:dyDescent="0.25">
      <c r="A97" s="22" t="s">
        <v>151</v>
      </c>
      <c r="B97" s="22" t="s">
        <v>152</v>
      </c>
      <c r="J97" s="102">
        <f>I97*DATAARK!$B$4</f>
        <v>0</v>
      </c>
      <c r="K97" s="102">
        <f>J97*DATAARK!$C$4</f>
        <v>0</v>
      </c>
      <c r="N97" s="40">
        <f t="shared" si="2"/>
        <v>0</v>
      </c>
    </row>
    <row r="98" spans="1:14" x14ac:dyDescent="0.25">
      <c r="A98" s="22" t="s">
        <v>153</v>
      </c>
      <c r="B98" s="22" t="s">
        <v>154</v>
      </c>
      <c r="J98" s="102">
        <f>I98*DATAARK!$B$4</f>
        <v>0</v>
      </c>
      <c r="K98" s="102">
        <f>J98*DATAARK!$C$4</f>
        <v>0</v>
      </c>
      <c r="N98" s="40">
        <f t="shared" si="2"/>
        <v>0</v>
      </c>
    </row>
    <row r="99" spans="1:14" x14ac:dyDescent="0.25">
      <c r="A99" s="22" t="s">
        <v>155</v>
      </c>
      <c r="B99" s="22" t="s">
        <v>156</v>
      </c>
      <c r="J99" s="102">
        <f>I99*DATAARK!$B$4</f>
        <v>0</v>
      </c>
      <c r="K99" s="102">
        <f>J99*DATAARK!$C$4</f>
        <v>0</v>
      </c>
      <c r="N99" s="40">
        <f t="shared" si="2"/>
        <v>0</v>
      </c>
    </row>
    <row r="100" spans="1:14" x14ac:dyDescent="0.25">
      <c r="A100" s="22" t="s">
        <v>157</v>
      </c>
      <c r="B100" s="22" t="s">
        <v>158</v>
      </c>
      <c r="J100" s="102">
        <f>I100*DATAARK!$B$4</f>
        <v>0</v>
      </c>
      <c r="K100" s="102">
        <f>J100*DATAARK!$C$4</f>
        <v>0</v>
      </c>
      <c r="N100" s="40">
        <f t="shared" si="2"/>
        <v>0</v>
      </c>
    </row>
    <row r="101" spans="1:14" x14ac:dyDescent="0.25">
      <c r="A101" s="22" t="s">
        <v>159</v>
      </c>
      <c r="B101" s="22" t="s">
        <v>160</v>
      </c>
      <c r="J101" s="102">
        <f>I101*DATAARK!$B$4</f>
        <v>0</v>
      </c>
      <c r="K101" s="102">
        <f>J101*DATAARK!$C$4</f>
        <v>0</v>
      </c>
      <c r="N101" s="40">
        <f t="shared" si="2"/>
        <v>0</v>
      </c>
    </row>
    <row r="102" spans="1:14" x14ac:dyDescent="0.25">
      <c r="A102" s="22" t="s">
        <v>161</v>
      </c>
      <c r="B102" s="22" t="s">
        <v>162</v>
      </c>
      <c r="J102" s="102">
        <f>I102*DATAARK!$B$4</f>
        <v>0</v>
      </c>
      <c r="K102" s="102">
        <f>J102*DATAARK!$C$4</f>
        <v>0</v>
      </c>
      <c r="N102" s="40">
        <f t="shared" si="2"/>
        <v>0</v>
      </c>
    </row>
    <row r="103" spans="1:14" x14ac:dyDescent="0.25">
      <c r="A103" s="22" t="s">
        <v>163</v>
      </c>
      <c r="B103" s="22" t="s">
        <v>164</v>
      </c>
      <c r="J103" s="102">
        <f>I103*DATAARK!$B$4</f>
        <v>0</v>
      </c>
      <c r="K103" s="102">
        <f>J103*DATAARK!$C$4</f>
        <v>0</v>
      </c>
      <c r="N103" s="40">
        <f t="shared" si="2"/>
        <v>0</v>
      </c>
    </row>
    <row r="104" spans="1:14" x14ac:dyDescent="0.25">
      <c r="A104" s="22" t="s">
        <v>165</v>
      </c>
      <c r="B104" s="22" t="s">
        <v>166</v>
      </c>
      <c r="J104" s="102">
        <f>I104*DATAARK!$B$4</f>
        <v>0</v>
      </c>
      <c r="K104" s="102">
        <f>J104*DATAARK!$C$4</f>
        <v>0</v>
      </c>
      <c r="N104" s="40">
        <f t="shared" si="2"/>
        <v>0</v>
      </c>
    </row>
    <row r="105" spans="1:14" x14ac:dyDescent="0.25">
      <c r="A105" s="22" t="s">
        <v>167</v>
      </c>
      <c r="B105" s="22" t="s">
        <v>168</v>
      </c>
      <c r="J105" s="102">
        <f>I105*DATAARK!$B$4</f>
        <v>0</v>
      </c>
      <c r="K105" s="102">
        <f>J105*DATAARK!$C$4</f>
        <v>0</v>
      </c>
      <c r="N105" s="40">
        <f t="shared" si="2"/>
        <v>0</v>
      </c>
    </row>
    <row r="106" spans="1:14" x14ac:dyDescent="0.25">
      <c r="A106" s="22" t="s">
        <v>169</v>
      </c>
      <c r="B106" s="22" t="s">
        <v>170</v>
      </c>
      <c r="C106" s="70">
        <v>271353.73</v>
      </c>
      <c r="G106" s="70">
        <v>-271353.73</v>
      </c>
      <c r="H106" s="70">
        <v>271353.73</v>
      </c>
      <c r="J106" s="102">
        <f>I106*DATAARK!$B$4</f>
        <v>0</v>
      </c>
      <c r="K106" s="102">
        <f>J106*DATAARK!$C$4</f>
        <v>0</v>
      </c>
      <c r="N106" s="40">
        <f t="shared" si="2"/>
        <v>0</v>
      </c>
    </row>
    <row r="107" spans="1:14" x14ac:dyDescent="0.25">
      <c r="A107" s="23" t="s">
        <v>171</v>
      </c>
      <c r="B107" s="23" t="s">
        <v>172</v>
      </c>
      <c r="C107" s="71">
        <v>-4977700.4400000004</v>
      </c>
      <c r="D107" s="71">
        <v>-8797377.3599999994</v>
      </c>
      <c r="E107" s="71">
        <v>43.42</v>
      </c>
      <c r="F107" s="71">
        <v>56.58</v>
      </c>
      <c r="G107" s="71">
        <v>-3819676.92</v>
      </c>
      <c r="H107" s="71">
        <v>-7663059.9900000002</v>
      </c>
      <c r="I107" s="90">
        <f>SUM(I85:I106)</f>
        <v>-5788020.5099999998</v>
      </c>
      <c r="J107" s="102">
        <f>SUM(J85:J106)</f>
        <v>-5788020.5099999998</v>
      </c>
      <c r="K107" s="90">
        <f>SUM(K85:K106)</f>
        <v>-5788020.5099999998</v>
      </c>
    </row>
    <row r="108" spans="1:14" x14ac:dyDescent="0.25">
      <c r="A108" s="22" t="s">
        <v>12</v>
      </c>
      <c r="B108" s="22" t="s">
        <v>12</v>
      </c>
    </row>
    <row r="109" spans="1:14" x14ac:dyDescent="0.25">
      <c r="A109" s="23" t="s">
        <v>173</v>
      </c>
      <c r="B109" s="23" t="s">
        <v>174</v>
      </c>
      <c r="C109" s="71"/>
      <c r="D109" s="71"/>
      <c r="E109" s="71"/>
      <c r="F109" s="71"/>
      <c r="G109" s="71"/>
      <c r="H109" s="71"/>
      <c r="I109" s="90"/>
      <c r="J109" s="104"/>
      <c r="K109" s="90"/>
    </row>
    <row r="110" spans="1:14" x14ac:dyDescent="0.25">
      <c r="A110" s="22" t="s">
        <v>175</v>
      </c>
      <c r="B110" s="22" t="s">
        <v>174</v>
      </c>
      <c r="C110" s="70">
        <v>-860373.52</v>
      </c>
      <c r="D110" s="70">
        <v>-1776566.64</v>
      </c>
      <c r="E110" s="70">
        <v>51.57</v>
      </c>
      <c r="F110" s="70">
        <v>48.43</v>
      </c>
      <c r="G110" s="70">
        <v>-916193.12</v>
      </c>
      <c r="H110" s="70">
        <v>-1636851.93</v>
      </c>
      <c r="I110" s="103">
        <v>-972088.93</v>
      </c>
      <c r="J110" s="102">
        <f>I110*DATAARK!$B$4</f>
        <v>-972088.93</v>
      </c>
      <c r="K110" s="102">
        <f>J110*DATAARK!$C$4</f>
        <v>-972088.93</v>
      </c>
      <c r="N110" s="40">
        <f>IF(J110&gt;0,1,0)</f>
        <v>0</v>
      </c>
    </row>
    <row r="111" spans="1:14" x14ac:dyDescent="0.25">
      <c r="A111" s="22" t="s">
        <v>176</v>
      </c>
      <c r="B111" s="22" t="s">
        <v>177</v>
      </c>
      <c r="J111" s="102">
        <f>I111*DATAARK!$B$4</f>
        <v>0</v>
      </c>
      <c r="K111" s="102">
        <f>J111*DATAARK!$C$4</f>
        <v>0</v>
      </c>
      <c r="N111" s="40">
        <f>IF(J111&gt;0,1,0)</f>
        <v>0</v>
      </c>
    </row>
    <row r="112" spans="1:14" x14ac:dyDescent="0.25">
      <c r="A112" s="23" t="s">
        <v>178</v>
      </c>
      <c r="B112" s="23" t="s">
        <v>179</v>
      </c>
      <c r="C112" s="71">
        <v>-860373.52</v>
      </c>
      <c r="D112" s="71">
        <v>-1776566.64</v>
      </c>
      <c r="E112" s="71">
        <v>51.57</v>
      </c>
      <c r="F112" s="71">
        <v>48.43</v>
      </c>
      <c r="G112" s="71">
        <v>-916193.12</v>
      </c>
      <c r="H112" s="71">
        <v>-1636851.93</v>
      </c>
      <c r="I112" s="90">
        <f>I110+I111</f>
        <v>-972088.93</v>
      </c>
      <c r="J112" s="104">
        <f>J110+J111</f>
        <v>-972088.93</v>
      </c>
      <c r="K112" s="90">
        <f>K110+K111</f>
        <v>-972088.93</v>
      </c>
    </row>
    <row r="113" spans="1:14" x14ac:dyDescent="0.25">
      <c r="A113" s="22" t="s">
        <v>12</v>
      </c>
      <c r="B113" s="22" t="s">
        <v>12</v>
      </c>
    </row>
    <row r="114" spans="1:14" x14ac:dyDescent="0.25">
      <c r="A114" s="23" t="s">
        <v>180</v>
      </c>
      <c r="B114" s="23" t="s">
        <v>181</v>
      </c>
      <c r="C114" s="71"/>
      <c r="D114" s="71"/>
      <c r="E114" s="71"/>
      <c r="F114" s="71"/>
      <c r="G114" s="71"/>
      <c r="H114" s="71"/>
      <c r="I114" s="90"/>
      <c r="K114" s="102"/>
    </row>
    <row r="115" spans="1:14" x14ac:dyDescent="0.25">
      <c r="A115" s="22" t="s">
        <v>182</v>
      </c>
      <c r="B115" s="22" t="s">
        <v>183</v>
      </c>
      <c r="C115" s="70">
        <v>150736.16</v>
      </c>
      <c r="D115" s="70">
        <v>362933</v>
      </c>
      <c r="E115" s="70">
        <v>58.47</v>
      </c>
      <c r="F115" s="70">
        <v>41.53</v>
      </c>
      <c r="G115" s="70">
        <v>212196.84</v>
      </c>
      <c r="H115" s="70">
        <v>301472.32</v>
      </c>
      <c r="I115" s="103">
        <f>C115*2</f>
        <v>301472.32</v>
      </c>
      <c r="J115" s="102">
        <f>I115*DATAARK!$B$4</f>
        <v>301472.32</v>
      </c>
      <c r="K115" s="102">
        <f>J115*DATAARK!$C$4</f>
        <v>301472.32</v>
      </c>
      <c r="N115" s="40">
        <f t="shared" ref="N115:N121" si="3">IF(J115&gt;0,0,2)</f>
        <v>0</v>
      </c>
    </row>
    <row r="116" spans="1:14" x14ac:dyDescent="0.25">
      <c r="A116" s="22" t="s">
        <v>184</v>
      </c>
      <c r="B116" s="22" t="s">
        <v>185</v>
      </c>
      <c r="C116" s="70">
        <v>59872</v>
      </c>
      <c r="G116" s="70">
        <v>-59872</v>
      </c>
      <c r="H116" s="70">
        <v>59872</v>
      </c>
      <c r="I116" s="103">
        <f>C116</f>
        <v>59872</v>
      </c>
      <c r="J116" s="102">
        <f>I116*DATAARK!$B$4</f>
        <v>59872</v>
      </c>
      <c r="K116" s="102">
        <f>J116*DATAARK!$C$4</f>
        <v>59872</v>
      </c>
      <c r="N116" s="40">
        <f t="shared" si="3"/>
        <v>0</v>
      </c>
    </row>
    <row r="117" spans="1:14" x14ac:dyDescent="0.25">
      <c r="A117" s="22" t="s">
        <v>186</v>
      </c>
      <c r="B117" s="22" t="s">
        <v>187</v>
      </c>
      <c r="J117" s="102">
        <f>I117*DATAARK!$B$4</f>
        <v>0</v>
      </c>
      <c r="K117" s="102">
        <f>J117*DATAARK!$C$4</f>
        <v>0</v>
      </c>
      <c r="N117" s="40">
        <f t="shared" si="3"/>
        <v>2</v>
      </c>
    </row>
    <row r="118" spans="1:14" x14ac:dyDescent="0.25">
      <c r="A118" s="22" t="s">
        <v>188</v>
      </c>
      <c r="B118" s="22" t="s">
        <v>189</v>
      </c>
      <c r="J118" s="102">
        <f>I118*DATAARK!$B$4</f>
        <v>0</v>
      </c>
      <c r="K118" s="102">
        <f>J118*DATAARK!$C$4</f>
        <v>0</v>
      </c>
      <c r="N118" s="40">
        <f t="shared" si="3"/>
        <v>2</v>
      </c>
    </row>
    <row r="119" spans="1:14" x14ac:dyDescent="0.25">
      <c r="A119" s="22" t="s">
        <v>190</v>
      </c>
      <c r="B119" s="22" t="s">
        <v>191</v>
      </c>
      <c r="J119" s="102">
        <f>I119*DATAARK!$B$4</f>
        <v>0</v>
      </c>
      <c r="K119" s="102">
        <f>J119*DATAARK!$C$4</f>
        <v>0</v>
      </c>
      <c r="N119" s="40">
        <f t="shared" si="3"/>
        <v>2</v>
      </c>
    </row>
    <row r="120" spans="1:14" x14ac:dyDescent="0.25">
      <c r="A120" s="22" t="s">
        <v>192</v>
      </c>
      <c r="B120" s="22" t="s">
        <v>193</v>
      </c>
      <c r="J120" s="102">
        <f>I120*DATAARK!$B$4</f>
        <v>0</v>
      </c>
      <c r="K120" s="102">
        <f>J120*DATAARK!$C$4</f>
        <v>0</v>
      </c>
      <c r="N120" s="40">
        <f t="shared" si="3"/>
        <v>2</v>
      </c>
    </row>
    <row r="121" spans="1:14" x14ac:dyDescent="0.25">
      <c r="A121" s="22" t="s">
        <v>194</v>
      </c>
      <c r="B121" s="22" t="s">
        <v>195</v>
      </c>
      <c r="J121" s="102">
        <f>I121*DATAARK!$B$4</f>
        <v>0</v>
      </c>
      <c r="K121" s="102">
        <f>J121*DATAARK!$C$4</f>
        <v>0</v>
      </c>
      <c r="N121" s="40">
        <f t="shared" si="3"/>
        <v>2</v>
      </c>
    </row>
    <row r="122" spans="1:14" x14ac:dyDescent="0.25">
      <c r="A122" s="23" t="s">
        <v>196</v>
      </c>
      <c r="B122" s="23" t="s">
        <v>197</v>
      </c>
      <c r="C122" s="71">
        <v>210608.16</v>
      </c>
      <c r="D122" s="71">
        <v>362933</v>
      </c>
      <c r="E122" s="71">
        <v>41.97</v>
      </c>
      <c r="F122" s="71">
        <v>58.03</v>
      </c>
      <c r="G122" s="71">
        <v>152324.84</v>
      </c>
      <c r="H122" s="71">
        <v>361344.32</v>
      </c>
      <c r="I122" s="90">
        <f>SUM(I115:I121)</f>
        <v>361344.32</v>
      </c>
      <c r="J122" s="104">
        <f>SUM(J115:J121)</f>
        <v>361344.32</v>
      </c>
      <c r="K122" s="90">
        <f>SUM(K115:K121)</f>
        <v>361344.32</v>
      </c>
    </row>
    <row r="123" spans="1:14" x14ac:dyDescent="0.25">
      <c r="A123" s="23" t="s">
        <v>198</v>
      </c>
      <c r="B123" s="23" t="s">
        <v>199</v>
      </c>
      <c r="C123" s="71">
        <v>-5627465.7999999998</v>
      </c>
      <c r="D123" s="71">
        <v>-10211011</v>
      </c>
      <c r="E123" s="71">
        <v>44.89</v>
      </c>
      <c r="F123" s="71">
        <v>55.11</v>
      </c>
      <c r="G123" s="71">
        <v>-4583545.2</v>
      </c>
      <c r="H123" s="71">
        <v>-8938567.5999999996</v>
      </c>
      <c r="I123" s="90">
        <f>I122+I112+I107</f>
        <v>-6398765.1200000001</v>
      </c>
      <c r="J123" s="104">
        <f>J122+J112+J107</f>
        <v>-6398765.1200000001</v>
      </c>
      <c r="K123" s="90">
        <f>K122+K112+K107</f>
        <v>-6398765.1200000001</v>
      </c>
    </row>
    <row r="124" spans="1:14" x14ac:dyDescent="0.25">
      <c r="A124" s="22" t="s">
        <v>12</v>
      </c>
      <c r="B124" s="22" t="s">
        <v>12</v>
      </c>
    </row>
    <row r="125" spans="1:14" x14ac:dyDescent="0.25">
      <c r="A125" s="23" t="s">
        <v>200</v>
      </c>
      <c r="B125" s="23" t="s">
        <v>201</v>
      </c>
      <c r="C125" s="71">
        <v>-5716393.1299999999</v>
      </c>
      <c r="D125" s="71">
        <v>-10520157</v>
      </c>
      <c r="E125" s="71">
        <v>45.66</v>
      </c>
      <c r="F125" s="71">
        <v>54.34</v>
      </c>
      <c r="G125" s="71">
        <v>-4803763.87</v>
      </c>
      <c r="H125" s="71">
        <v>-9251894.5999999996</v>
      </c>
      <c r="I125" s="90">
        <f>I123+I82+I77</f>
        <v>-6712092.1200000001</v>
      </c>
      <c r="J125" s="104">
        <f>J123+J82+J77</f>
        <v>-6712092.1200000001</v>
      </c>
      <c r="K125" s="90">
        <f>K123+K82+K77</f>
        <v>-6712092.1200000001</v>
      </c>
    </row>
    <row r="126" spans="1:14" x14ac:dyDescent="0.25">
      <c r="A126" s="22" t="s">
        <v>12</v>
      </c>
      <c r="B126" s="22" t="s">
        <v>12</v>
      </c>
    </row>
    <row r="127" spans="1:14" x14ac:dyDescent="0.25">
      <c r="A127" s="23" t="s">
        <v>202</v>
      </c>
      <c r="B127" s="23" t="s">
        <v>203</v>
      </c>
      <c r="C127" s="71">
        <v>-138154.18</v>
      </c>
      <c r="D127" s="71">
        <v>2223263.2999999998</v>
      </c>
      <c r="E127" s="71">
        <v>106.21</v>
      </c>
      <c r="F127" s="71">
        <v>-6.21</v>
      </c>
      <c r="G127" s="71">
        <v>2361417.48</v>
      </c>
      <c r="H127" s="71">
        <v>2058199.7622131202</v>
      </c>
      <c r="I127" s="90">
        <f>I125+I65</f>
        <v>4584956.8422131194</v>
      </c>
      <c r="J127" s="104">
        <f>J125+J65</f>
        <v>5279628.38</v>
      </c>
      <c r="K127" s="90">
        <f>K125+K65</f>
        <v>5279628.38</v>
      </c>
    </row>
    <row r="128" spans="1:14" x14ac:dyDescent="0.25">
      <c r="A128" s="22" t="s">
        <v>12</v>
      </c>
      <c r="B128" s="22" t="s">
        <v>12</v>
      </c>
    </row>
    <row r="129" spans="1:14" x14ac:dyDescent="0.25">
      <c r="A129" s="23" t="s">
        <v>204</v>
      </c>
      <c r="B129" s="23" t="s">
        <v>205</v>
      </c>
      <c r="C129" s="71"/>
      <c r="D129" s="71"/>
      <c r="E129" s="71"/>
      <c r="F129" s="71"/>
      <c r="G129" s="71"/>
      <c r="H129" s="71"/>
      <c r="I129" s="90"/>
      <c r="J129" s="104"/>
      <c r="K129" s="90"/>
    </row>
    <row r="130" spans="1:14" x14ac:dyDescent="0.25">
      <c r="A130" s="22" t="s">
        <v>206</v>
      </c>
      <c r="B130" s="22" t="s">
        <v>207</v>
      </c>
      <c r="C130" s="70">
        <v>10395</v>
      </c>
      <c r="D130" s="70">
        <v>103200</v>
      </c>
      <c r="E130" s="70">
        <v>89.93</v>
      </c>
      <c r="F130" s="70">
        <v>10.07</v>
      </c>
      <c r="G130" s="70">
        <v>92805</v>
      </c>
      <c r="H130" s="70">
        <v>103200</v>
      </c>
      <c r="I130" s="103">
        <v>103200</v>
      </c>
      <c r="J130" s="102">
        <f>I130*DATAARK!$B$3</f>
        <v>103200</v>
      </c>
      <c r="K130" s="102">
        <f>J130*DATAARK!$C$3</f>
        <v>103200</v>
      </c>
      <c r="N130" s="40">
        <f t="shared" ref="N130:N136" si="4">IF(J130&gt;0,0,2)</f>
        <v>0</v>
      </c>
    </row>
    <row r="131" spans="1:14" x14ac:dyDescent="0.25">
      <c r="A131" s="22" t="s">
        <v>208</v>
      </c>
      <c r="B131" s="22" t="s">
        <v>209</v>
      </c>
      <c r="C131" s="70">
        <v>6575.62</v>
      </c>
      <c r="G131" s="70">
        <v>-6575.62</v>
      </c>
      <c r="H131" s="70">
        <v>6575.62</v>
      </c>
      <c r="J131" s="102">
        <f>I131*DATAARK!$B$3</f>
        <v>0</v>
      </c>
      <c r="K131" s="102">
        <f>J131*DATAARK!$C$3</f>
        <v>0</v>
      </c>
      <c r="N131" s="40">
        <f t="shared" si="4"/>
        <v>2</v>
      </c>
    </row>
    <row r="132" spans="1:14" x14ac:dyDescent="0.25">
      <c r="A132" s="22" t="s">
        <v>210</v>
      </c>
      <c r="B132" s="22" t="s">
        <v>211</v>
      </c>
      <c r="J132" s="102">
        <f>I132*DATAARK!$B$3</f>
        <v>0</v>
      </c>
      <c r="K132" s="102">
        <f>J132*DATAARK!$C$3</f>
        <v>0</v>
      </c>
      <c r="N132" s="40">
        <f t="shared" si="4"/>
        <v>2</v>
      </c>
    </row>
    <row r="133" spans="1:14" x14ac:dyDescent="0.25">
      <c r="A133" s="22" t="s">
        <v>212</v>
      </c>
      <c r="B133" s="22" t="s">
        <v>213</v>
      </c>
      <c r="J133" s="102">
        <f>I133*DATAARK!$B$3</f>
        <v>0</v>
      </c>
      <c r="K133" s="102">
        <f>J133*DATAARK!$C$3</f>
        <v>0</v>
      </c>
      <c r="N133" s="40">
        <f t="shared" si="4"/>
        <v>2</v>
      </c>
    </row>
    <row r="134" spans="1:14" x14ac:dyDescent="0.25">
      <c r="A134" s="22" t="s">
        <v>214</v>
      </c>
      <c r="B134" s="22" t="s">
        <v>215</v>
      </c>
      <c r="J134" s="102">
        <f>I134*DATAARK!$B$3</f>
        <v>0</v>
      </c>
      <c r="K134" s="102">
        <f>J134*DATAARK!$C$3</f>
        <v>0</v>
      </c>
      <c r="N134" s="40">
        <f t="shared" si="4"/>
        <v>2</v>
      </c>
    </row>
    <row r="135" spans="1:14" x14ac:dyDescent="0.25">
      <c r="A135" s="22" t="s">
        <v>216</v>
      </c>
      <c r="B135" s="22" t="s">
        <v>217</v>
      </c>
      <c r="C135" s="70">
        <v>15000</v>
      </c>
      <c r="G135" s="70">
        <v>-15000</v>
      </c>
      <c r="H135" s="70">
        <v>15000</v>
      </c>
      <c r="J135" s="102">
        <f>I135*DATAARK!$B$3</f>
        <v>0</v>
      </c>
      <c r="K135" s="102">
        <f>J135*DATAARK!$C$3</f>
        <v>0</v>
      </c>
      <c r="N135" s="40">
        <f t="shared" si="4"/>
        <v>2</v>
      </c>
    </row>
    <row r="136" spans="1:14" x14ac:dyDescent="0.25">
      <c r="A136" s="23" t="s">
        <v>218</v>
      </c>
      <c r="B136" s="23" t="s">
        <v>219</v>
      </c>
      <c r="C136" s="71">
        <v>31970.62</v>
      </c>
      <c r="D136" s="71">
        <v>103200</v>
      </c>
      <c r="E136" s="71">
        <v>69.02</v>
      </c>
      <c r="F136" s="71">
        <v>30.98</v>
      </c>
      <c r="G136" s="71">
        <v>71229.38</v>
      </c>
      <c r="H136" s="71">
        <v>124775.62</v>
      </c>
      <c r="I136" s="90">
        <f>SUM(I130:I135)</f>
        <v>103200</v>
      </c>
      <c r="J136" s="104">
        <f>SUM(J130:J135)</f>
        <v>103200</v>
      </c>
      <c r="K136" s="90">
        <f>SUM(K130:K135)</f>
        <v>103200</v>
      </c>
      <c r="N136" s="40">
        <f t="shared" si="4"/>
        <v>0</v>
      </c>
    </row>
    <row r="137" spans="1:14" x14ac:dyDescent="0.25">
      <c r="A137" s="22" t="s">
        <v>12</v>
      </c>
      <c r="B137" s="22" t="s">
        <v>12</v>
      </c>
    </row>
    <row r="138" spans="1:14" x14ac:dyDescent="0.25">
      <c r="A138" s="23" t="s">
        <v>220</v>
      </c>
      <c r="B138" s="23" t="s">
        <v>221</v>
      </c>
      <c r="C138" s="71"/>
      <c r="D138" s="71"/>
      <c r="E138" s="71"/>
      <c r="F138" s="71"/>
      <c r="G138" s="71"/>
      <c r="H138" s="71"/>
      <c r="I138" s="90"/>
      <c r="J138" s="104"/>
      <c r="K138" s="90"/>
    </row>
    <row r="139" spans="1:14" x14ac:dyDescent="0.25">
      <c r="A139" s="22" t="s">
        <v>222</v>
      </c>
      <c r="B139" s="22" t="s">
        <v>223</v>
      </c>
      <c r="J139" s="102">
        <f>I139*DATAARK!$B$3</f>
        <v>0</v>
      </c>
      <c r="K139" s="102">
        <f>J139*DATAARK!$C$3</f>
        <v>0</v>
      </c>
      <c r="N139" s="40">
        <f>IF(J139&gt;0,1,0)</f>
        <v>0</v>
      </c>
    </row>
    <row r="140" spans="1:14" x14ac:dyDescent="0.25">
      <c r="A140" s="22" t="s">
        <v>224</v>
      </c>
      <c r="B140" s="22" t="s">
        <v>225</v>
      </c>
      <c r="J140" s="102">
        <f>I140*DATAARK!$B$3</f>
        <v>0</v>
      </c>
      <c r="K140" s="102">
        <f>J140*DATAARK!$C$3</f>
        <v>0</v>
      </c>
      <c r="N140" s="40">
        <f t="shared" ref="N140:N203" si="5">IF(J140&gt;0,1,0)</f>
        <v>0</v>
      </c>
    </row>
    <row r="141" spans="1:14" x14ac:dyDescent="0.25">
      <c r="A141" s="22" t="s">
        <v>226</v>
      </c>
      <c r="B141" s="22" t="s">
        <v>227</v>
      </c>
      <c r="C141" s="70">
        <v>-544230.37</v>
      </c>
      <c r="D141" s="70">
        <v>-549678.44999999995</v>
      </c>
      <c r="E141" s="70">
        <v>0.99</v>
      </c>
      <c r="F141" s="70">
        <v>99.01</v>
      </c>
      <c r="G141" s="70">
        <v>-5448.08</v>
      </c>
      <c r="H141" s="70">
        <v>-1496131.4909999997</v>
      </c>
      <c r="I141" s="103">
        <f>'Fælles adm.'!I142*-1*0.15</f>
        <v>-1263618.1259999999</v>
      </c>
      <c r="J141" s="103">
        <f>'Fælles adm.'!J142*-1*0.1727</f>
        <v>-2118329.159155</v>
      </c>
      <c r="K141" s="103">
        <f>'Fælles adm.'!K142*-1*0.1727</f>
        <v>-1719818.1167969999</v>
      </c>
      <c r="N141" s="40">
        <f t="shared" si="5"/>
        <v>0</v>
      </c>
    </row>
    <row r="142" spans="1:14" x14ac:dyDescent="0.25">
      <c r="A142" s="22" t="s">
        <v>228</v>
      </c>
      <c r="B142" s="22" t="s">
        <v>229</v>
      </c>
      <c r="J142" s="102">
        <f>I142*DATAARK!$B$3</f>
        <v>0</v>
      </c>
      <c r="K142" s="102">
        <f>J142*DATAARK!$C$3</f>
        <v>0</v>
      </c>
      <c r="N142" s="40">
        <f t="shared" si="5"/>
        <v>0</v>
      </c>
    </row>
    <row r="143" spans="1:14" x14ac:dyDescent="0.25">
      <c r="A143" s="22" t="s">
        <v>230</v>
      </c>
      <c r="B143" s="22" t="s">
        <v>231</v>
      </c>
      <c r="J143" s="102">
        <f>I143*DATAARK!$B$3</f>
        <v>0</v>
      </c>
      <c r="K143" s="102">
        <f>J143*DATAARK!$C$3</f>
        <v>0</v>
      </c>
      <c r="N143" s="40">
        <f t="shared" si="5"/>
        <v>0</v>
      </c>
    </row>
    <row r="144" spans="1:14" x14ac:dyDescent="0.25">
      <c r="A144" s="22" t="s">
        <v>232</v>
      </c>
      <c r="B144" s="22" t="s">
        <v>233</v>
      </c>
      <c r="C144" s="70">
        <v>-381.68</v>
      </c>
      <c r="D144" s="70">
        <v>-42000</v>
      </c>
      <c r="E144" s="70">
        <v>99.09</v>
      </c>
      <c r="F144" s="70">
        <v>0.91</v>
      </c>
      <c r="G144" s="70">
        <v>-41618.32</v>
      </c>
      <c r="H144" s="70">
        <v>-42000</v>
      </c>
      <c r="I144" s="103">
        <v>-15000</v>
      </c>
      <c r="J144" s="102">
        <f>I144*DATAARK!$B$3</f>
        <v>-15000</v>
      </c>
      <c r="K144" s="102">
        <f>J144*DATAARK!$C$3</f>
        <v>-15000</v>
      </c>
      <c r="N144" s="40">
        <f t="shared" si="5"/>
        <v>0</v>
      </c>
    </row>
    <row r="145" spans="1:14" x14ac:dyDescent="0.25">
      <c r="A145" s="22" t="s">
        <v>234</v>
      </c>
      <c r="B145" s="22" t="s">
        <v>235</v>
      </c>
      <c r="D145" s="70">
        <v>-5000</v>
      </c>
      <c r="E145" s="70">
        <v>100</v>
      </c>
      <c r="G145" s="70">
        <v>-5000</v>
      </c>
      <c r="H145" s="70">
        <v>-5000</v>
      </c>
      <c r="I145" s="103">
        <v>-5000</v>
      </c>
      <c r="J145" s="102">
        <f>I145*DATAARK!$B$3</f>
        <v>-5000</v>
      </c>
      <c r="K145" s="102">
        <f>J145*DATAARK!$C$3</f>
        <v>-5000</v>
      </c>
      <c r="N145" s="40">
        <f t="shared" si="5"/>
        <v>0</v>
      </c>
    </row>
    <row r="146" spans="1:14" x14ac:dyDescent="0.25">
      <c r="A146" s="22" t="s">
        <v>236</v>
      </c>
      <c r="B146" s="22" t="s">
        <v>237</v>
      </c>
      <c r="D146" s="70">
        <v>-10000</v>
      </c>
      <c r="E146" s="70">
        <v>100</v>
      </c>
      <c r="G146" s="70">
        <v>-10000</v>
      </c>
      <c r="H146" s="70">
        <v>-10000</v>
      </c>
      <c r="I146" s="103">
        <v>-5000</v>
      </c>
      <c r="J146" s="102">
        <f>I146*DATAARK!$B$3</f>
        <v>-5000</v>
      </c>
      <c r="K146" s="102">
        <f>J146*DATAARK!$C$3</f>
        <v>-5000</v>
      </c>
      <c r="N146" s="40">
        <f t="shared" si="5"/>
        <v>0</v>
      </c>
    </row>
    <row r="147" spans="1:14" x14ac:dyDescent="0.25">
      <c r="A147" s="22" t="s">
        <v>238</v>
      </c>
      <c r="B147" s="22" t="s">
        <v>239</v>
      </c>
      <c r="C147" s="70">
        <v>-356</v>
      </c>
      <c r="D147" s="70">
        <v>-2000</v>
      </c>
      <c r="E147" s="70">
        <v>82.2</v>
      </c>
      <c r="F147" s="70">
        <v>17.8</v>
      </c>
      <c r="G147" s="70">
        <v>-1644</v>
      </c>
      <c r="H147" s="70">
        <v>-2000</v>
      </c>
      <c r="I147" s="103">
        <v>-4000</v>
      </c>
      <c r="J147" s="102">
        <f>I147*DATAARK!$B$3</f>
        <v>-4000</v>
      </c>
      <c r="K147" s="102">
        <f>J147*DATAARK!$C$3</f>
        <v>-4000</v>
      </c>
      <c r="N147" s="40">
        <f t="shared" si="5"/>
        <v>0</v>
      </c>
    </row>
    <row r="148" spans="1:14" x14ac:dyDescent="0.25">
      <c r="A148" s="22" t="s">
        <v>240</v>
      </c>
      <c r="B148" s="22" t="s">
        <v>241</v>
      </c>
      <c r="C148" s="70">
        <v>-64361.79</v>
      </c>
      <c r="G148" s="70">
        <v>64361.79</v>
      </c>
      <c r="H148" s="70">
        <v>-64361.79</v>
      </c>
      <c r="I148" s="103">
        <v>0</v>
      </c>
      <c r="J148" s="102">
        <f>I148*DATAARK!$B$3</f>
        <v>0</v>
      </c>
      <c r="K148" s="102">
        <f>J148*DATAARK!$C$3</f>
        <v>0</v>
      </c>
      <c r="N148" s="40">
        <f t="shared" si="5"/>
        <v>0</v>
      </c>
    </row>
    <row r="149" spans="1:14" x14ac:dyDescent="0.25">
      <c r="A149" s="22" t="s">
        <v>242</v>
      </c>
      <c r="B149" s="22" t="s">
        <v>243</v>
      </c>
      <c r="C149" s="70">
        <v>-665.08</v>
      </c>
      <c r="D149" s="70">
        <v>-25000</v>
      </c>
      <c r="E149" s="70">
        <v>97.34</v>
      </c>
      <c r="F149" s="70">
        <v>2.66</v>
      </c>
      <c r="G149" s="70">
        <v>-24334.92</v>
      </c>
      <c r="H149" s="70">
        <v>-25000</v>
      </c>
      <c r="J149" s="102">
        <f>I149*DATAARK!$B$3</f>
        <v>0</v>
      </c>
      <c r="K149" s="102">
        <f>J149*DATAARK!$C$3</f>
        <v>0</v>
      </c>
      <c r="N149" s="40">
        <f t="shared" si="5"/>
        <v>0</v>
      </c>
    </row>
    <row r="150" spans="1:14" x14ac:dyDescent="0.25">
      <c r="A150" s="22" t="s">
        <v>244</v>
      </c>
      <c r="B150" s="22" t="s">
        <v>245</v>
      </c>
      <c r="C150" s="70">
        <v>-5306.5</v>
      </c>
      <c r="D150" s="70">
        <v>-70000</v>
      </c>
      <c r="E150" s="70">
        <v>92.42</v>
      </c>
      <c r="F150" s="70">
        <v>7.58</v>
      </c>
      <c r="G150" s="70">
        <v>-64693.5</v>
      </c>
      <c r="H150" s="70">
        <v>-70000</v>
      </c>
      <c r="J150" s="102">
        <f>I150*DATAARK!$B$3</f>
        <v>0</v>
      </c>
      <c r="K150" s="102">
        <f>J150*DATAARK!$C$3</f>
        <v>0</v>
      </c>
      <c r="N150" s="40">
        <f t="shared" si="5"/>
        <v>0</v>
      </c>
    </row>
    <row r="151" spans="1:14" x14ac:dyDescent="0.25">
      <c r="A151" s="22" t="s">
        <v>246</v>
      </c>
      <c r="B151" s="22" t="s">
        <v>247</v>
      </c>
      <c r="C151" s="70">
        <v>-2391.4499999999998</v>
      </c>
      <c r="D151" s="70">
        <v>-763000</v>
      </c>
      <c r="E151" s="70">
        <v>99.69</v>
      </c>
      <c r="F151" s="70">
        <v>0.31</v>
      </c>
      <c r="G151" s="70">
        <v>-760608.55</v>
      </c>
      <c r="H151" s="70">
        <v>0</v>
      </c>
      <c r="I151" s="103">
        <f>-763000+715000+48000</f>
        <v>0</v>
      </c>
      <c r="K151" s="102">
        <f>J151*DATAARK!$C$3</f>
        <v>0</v>
      </c>
      <c r="N151" s="40">
        <f t="shared" si="5"/>
        <v>0</v>
      </c>
    </row>
    <row r="152" spans="1:14" x14ac:dyDescent="0.25">
      <c r="A152" s="22" t="s">
        <v>248</v>
      </c>
      <c r="B152" s="22" t="s">
        <v>249</v>
      </c>
      <c r="C152" s="70">
        <v>-4194.8100000000004</v>
      </c>
      <c r="D152" s="70">
        <v>-50000</v>
      </c>
      <c r="E152" s="70">
        <v>91.61</v>
      </c>
      <c r="F152" s="70">
        <v>8.39</v>
      </c>
      <c r="G152" s="70">
        <v>-45805.19</v>
      </c>
      <c r="H152" s="70">
        <v>-50000</v>
      </c>
      <c r="I152" s="103">
        <v>-50000</v>
      </c>
      <c r="J152" s="102">
        <f>I152*DATAARK!$B$3</f>
        <v>-50000</v>
      </c>
      <c r="K152" s="102">
        <f>J152*DATAARK!$C$3</f>
        <v>-50000</v>
      </c>
      <c r="N152" s="40">
        <f t="shared" si="5"/>
        <v>0</v>
      </c>
    </row>
    <row r="153" spans="1:14" x14ac:dyDescent="0.25">
      <c r="A153" s="22" t="s">
        <v>250</v>
      </c>
      <c r="B153" s="22" t="s">
        <v>251</v>
      </c>
      <c r="J153" s="102">
        <f>I153*DATAARK!$B$3</f>
        <v>0</v>
      </c>
      <c r="K153" s="102">
        <f>J153*DATAARK!$C$3</f>
        <v>0</v>
      </c>
      <c r="N153" s="40">
        <f t="shared" si="5"/>
        <v>0</v>
      </c>
    </row>
    <row r="154" spans="1:14" x14ac:dyDescent="0.25">
      <c r="A154" s="22" t="s">
        <v>252</v>
      </c>
      <c r="B154" s="22" t="s">
        <v>253</v>
      </c>
      <c r="C154" s="70">
        <v>-410.4</v>
      </c>
      <c r="G154" s="70">
        <v>410.4</v>
      </c>
      <c r="H154" s="70">
        <v>-410.4</v>
      </c>
      <c r="J154" s="102">
        <f>I154*DATAARK!$B$3</f>
        <v>0</v>
      </c>
      <c r="K154" s="102">
        <f>J154*DATAARK!$C$3</f>
        <v>0</v>
      </c>
      <c r="N154" s="40">
        <f t="shared" si="5"/>
        <v>0</v>
      </c>
    </row>
    <row r="155" spans="1:14" x14ac:dyDescent="0.25">
      <c r="A155" s="22" t="s">
        <v>254</v>
      </c>
      <c r="B155" s="22" t="s">
        <v>255</v>
      </c>
      <c r="C155" s="70">
        <v>-32775.19</v>
      </c>
      <c r="D155" s="70">
        <v>-50000</v>
      </c>
      <c r="E155" s="70">
        <v>34.450000000000003</v>
      </c>
      <c r="F155" s="70">
        <v>65.55</v>
      </c>
      <c r="G155" s="70">
        <v>-17224.810000000001</v>
      </c>
      <c r="H155" s="70">
        <v>-50000</v>
      </c>
      <c r="J155" s="102">
        <f>I155*DATAARK!$B$3</f>
        <v>0</v>
      </c>
      <c r="K155" s="102">
        <f>J155*DATAARK!$C$3</f>
        <v>0</v>
      </c>
      <c r="N155" s="40">
        <f t="shared" si="5"/>
        <v>0</v>
      </c>
    </row>
    <row r="156" spans="1:14" x14ac:dyDescent="0.25">
      <c r="A156" s="22" t="s">
        <v>256</v>
      </c>
      <c r="B156" s="22" t="s">
        <v>257</v>
      </c>
      <c r="D156" s="70">
        <v>-10266.67</v>
      </c>
      <c r="E156" s="70">
        <v>100</v>
      </c>
      <c r="G156" s="70">
        <v>-10266.67</v>
      </c>
      <c r="H156" s="70">
        <v>-10266.67</v>
      </c>
      <c r="I156" s="103">
        <v>-9500</v>
      </c>
      <c r="J156" s="102">
        <f>I156*DATAARK!$B$3</f>
        <v>-9500</v>
      </c>
      <c r="K156" s="102">
        <f>J156*DATAARK!$C$3</f>
        <v>-9500</v>
      </c>
      <c r="N156" s="40">
        <f t="shared" si="5"/>
        <v>0</v>
      </c>
    </row>
    <row r="157" spans="1:14" x14ac:dyDescent="0.25">
      <c r="A157" s="22" t="s">
        <v>258</v>
      </c>
      <c r="B157" s="22" t="s">
        <v>259</v>
      </c>
      <c r="J157" s="102">
        <f>I157*DATAARK!$B$3</f>
        <v>0</v>
      </c>
      <c r="K157" s="102">
        <f>J157*DATAARK!$C$3</f>
        <v>0</v>
      </c>
      <c r="N157" s="40">
        <f t="shared" si="5"/>
        <v>0</v>
      </c>
    </row>
    <row r="158" spans="1:14" x14ac:dyDescent="0.25">
      <c r="A158" s="22" t="s">
        <v>260</v>
      </c>
      <c r="B158" s="22" t="s">
        <v>261</v>
      </c>
      <c r="D158" s="70">
        <v>-203852</v>
      </c>
      <c r="E158" s="70">
        <v>100</v>
      </c>
      <c r="G158" s="70">
        <v>-203852</v>
      </c>
      <c r="H158" s="70">
        <v>0</v>
      </c>
      <c r="I158" s="103">
        <v>0</v>
      </c>
      <c r="J158" s="102">
        <f>I158*DATAARK!$B$3</f>
        <v>0</v>
      </c>
      <c r="K158" s="102">
        <f>J158*DATAARK!$C$3</f>
        <v>0</v>
      </c>
      <c r="N158" s="40">
        <f t="shared" si="5"/>
        <v>0</v>
      </c>
    </row>
    <row r="159" spans="1:14" x14ac:dyDescent="0.25">
      <c r="A159" s="22" t="s">
        <v>262</v>
      </c>
      <c r="B159" s="22" t="s">
        <v>263</v>
      </c>
      <c r="C159" s="70">
        <v>-21490.6</v>
      </c>
      <c r="D159" s="70">
        <v>-200000</v>
      </c>
      <c r="E159" s="70">
        <v>89.25</v>
      </c>
      <c r="F159" s="70">
        <v>10.75</v>
      </c>
      <c r="G159" s="70">
        <v>-178509.4</v>
      </c>
      <c r="H159" s="70">
        <v>-200000</v>
      </c>
      <c r="J159" s="102">
        <f>I159*DATAARK!$B$3</f>
        <v>0</v>
      </c>
      <c r="K159" s="102">
        <f>J159*DATAARK!$C$3</f>
        <v>0</v>
      </c>
      <c r="N159" s="40">
        <f t="shared" si="5"/>
        <v>0</v>
      </c>
    </row>
    <row r="160" spans="1:14" x14ac:dyDescent="0.25">
      <c r="A160" s="22" t="s">
        <v>264</v>
      </c>
      <c r="B160" s="22" t="s">
        <v>265</v>
      </c>
      <c r="J160" s="102">
        <f>I160*DATAARK!$B$3</f>
        <v>0</v>
      </c>
      <c r="K160" s="102">
        <f>J160*DATAARK!$C$3</f>
        <v>0</v>
      </c>
      <c r="N160" s="40">
        <f t="shared" si="5"/>
        <v>0</v>
      </c>
    </row>
    <row r="161" spans="1:14" x14ac:dyDescent="0.25">
      <c r="A161" s="22" t="s">
        <v>266</v>
      </c>
      <c r="B161" s="22" t="s">
        <v>267</v>
      </c>
      <c r="J161" s="102">
        <f>I161*DATAARK!$B$3</f>
        <v>0</v>
      </c>
      <c r="K161" s="102">
        <f>J161*DATAARK!$C$3</f>
        <v>0</v>
      </c>
      <c r="N161" s="40">
        <f t="shared" si="5"/>
        <v>0</v>
      </c>
    </row>
    <row r="162" spans="1:14" x14ac:dyDescent="0.25">
      <c r="A162" s="22" t="s">
        <v>268</v>
      </c>
      <c r="B162" s="22" t="s">
        <v>269</v>
      </c>
      <c r="C162" s="70">
        <v>-27596.46</v>
      </c>
      <c r="D162" s="70">
        <v>-200000</v>
      </c>
      <c r="E162" s="70">
        <v>86.2</v>
      </c>
      <c r="F162" s="70">
        <v>13.8</v>
      </c>
      <c r="G162" s="70">
        <v>-172403.54</v>
      </c>
      <c r="H162" s="70">
        <v>-55192.92</v>
      </c>
      <c r="J162" s="102">
        <f>I162*DATAARK!$B$3</f>
        <v>0</v>
      </c>
      <c r="K162" s="102">
        <f>J162*DATAARK!$C$3</f>
        <v>0</v>
      </c>
      <c r="N162" s="40">
        <f t="shared" si="5"/>
        <v>0</v>
      </c>
    </row>
    <row r="163" spans="1:14" x14ac:dyDescent="0.25">
      <c r="A163" s="22" t="s">
        <v>270</v>
      </c>
      <c r="B163" s="22" t="s">
        <v>271</v>
      </c>
      <c r="C163" s="70">
        <v>-42737.919999999998</v>
      </c>
      <c r="D163" s="70">
        <v>-150000</v>
      </c>
      <c r="E163" s="70">
        <v>71.510000000000005</v>
      </c>
      <c r="F163" s="70">
        <v>28.49</v>
      </c>
      <c r="G163" s="70">
        <v>-107262.08</v>
      </c>
      <c r="H163" s="70">
        <v>-85475.839999999997</v>
      </c>
      <c r="J163" s="102">
        <f>I163*DATAARK!$B$3</f>
        <v>0</v>
      </c>
      <c r="K163" s="102">
        <f>J163*DATAARK!$C$3</f>
        <v>0</v>
      </c>
      <c r="N163" s="40">
        <f t="shared" si="5"/>
        <v>0</v>
      </c>
    </row>
    <row r="164" spans="1:14" x14ac:dyDescent="0.25">
      <c r="A164" s="22" t="s">
        <v>272</v>
      </c>
      <c r="B164" s="22" t="s">
        <v>273</v>
      </c>
      <c r="C164" s="70">
        <v>-17271.93</v>
      </c>
      <c r="D164" s="70">
        <v>-30000</v>
      </c>
      <c r="E164" s="70">
        <v>42.43</v>
      </c>
      <c r="F164" s="70">
        <v>57.57</v>
      </c>
      <c r="G164" s="70">
        <v>-12728.07</v>
      </c>
      <c r="H164" s="70">
        <v>-34543.86</v>
      </c>
      <c r="J164" s="102">
        <f>I164*DATAARK!$B$3</f>
        <v>0</v>
      </c>
      <c r="K164" s="102">
        <f>J164*DATAARK!$C$3</f>
        <v>0</v>
      </c>
      <c r="N164" s="40">
        <f t="shared" si="5"/>
        <v>0</v>
      </c>
    </row>
    <row r="165" spans="1:14" x14ac:dyDescent="0.25">
      <c r="A165" s="22" t="s">
        <v>274</v>
      </c>
      <c r="B165" s="22" t="s">
        <v>275</v>
      </c>
      <c r="C165" s="70">
        <v>-4377.71</v>
      </c>
      <c r="D165" s="70">
        <v>-18500</v>
      </c>
      <c r="E165" s="70">
        <v>76.34</v>
      </c>
      <c r="F165" s="70">
        <v>23.66</v>
      </c>
      <c r="G165" s="70">
        <v>-14122.29</v>
      </c>
      <c r="H165" s="70">
        <v>-18500</v>
      </c>
      <c r="J165" s="102">
        <f>I165*DATAARK!$B$3</f>
        <v>0</v>
      </c>
      <c r="K165" s="102">
        <f>J165*DATAARK!$C$3</f>
        <v>0</v>
      </c>
      <c r="N165" s="40">
        <f t="shared" si="5"/>
        <v>0</v>
      </c>
    </row>
    <row r="166" spans="1:14" x14ac:dyDescent="0.25">
      <c r="A166" s="22" t="s">
        <v>276</v>
      </c>
      <c r="B166" s="22" t="s">
        <v>277</v>
      </c>
      <c r="D166" s="70">
        <v>-4000</v>
      </c>
      <c r="E166" s="70">
        <v>100</v>
      </c>
      <c r="G166" s="70">
        <v>-4000</v>
      </c>
      <c r="H166" s="70">
        <v>-4000</v>
      </c>
      <c r="J166" s="102">
        <f>I166*DATAARK!$B$3</f>
        <v>0</v>
      </c>
      <c r="K166" s="102">
        <f>J166*DATAARK!$C$3</f>
        <v>0</v>
      </c>
      <c r="N166" s="40">
        <f t="shared" si="5"/>
        <v>0</v>
      </c>
    </row>
    <row r="167" spans="1:14" x14ac:dyDescent="0.25">
      <c r="A167" s="22" t="s">
        <v>278</v>
      </c>
      <c r="B167" s="22" t="s">
        <v>279</v>
      </c>
      <c r="J167" s="102">
        <f>I167*DATAARK!$B$3</f>
        <v>0</v>
      </c>
      <c r="K167" s="102">
        <f>J167*DATAARK!$C$3</f>
        <v>0</v>
      </c>
      <c r="N167" s="40">
        <f t="shared" si="5"/>
        <v>0</v>
      </c>
    </row>
    <row r="168" spans="1:14" x14ac:dyDescent="0.25">
      <c r="A168" s="22" t="s">
        <v>280</v>
      </c>
      <c r="B168" s="22" t="s">
        <v>281</v>
      </c>
      <c r="C168" s="70">
        <v>-74459.509999999995</v>
      </c>
      <c r="D168" s="70">
        <v>-50000</v>
      </c>
      <c r="E168" s="70">
        <v>-48.92</v>
      </c>
      <c r="F168" s="70">
        <v>148.91999999999999</v>
      </c>
      <c r="G168" s="70">
        <v>24459.51</v>
      </c>
      <c r="H168" s="70">
        <v>-74459.509999999995</v>
      </c>
      <c r="I168" s="103">
        <f>C168</f>
        <v>-74459.509999999995</v>
      </c>
      <c r="J168" s="102">
        <f>I168*DATAARK!$B$3</f>
        <v>-74459.509999999995</v>
      </c>
      <c r="K168" s="102">
        <f>J168*DATAARK!$C$3</f>
        <v>-74459.509999999995</v>
      </c>
      <c r="N168" s="40">
        <f t="shared" si="5"/>
        <v>0</v>
      </c>
    </row>
    <row r="169" spans="1:14" x14ac:dyDescent="0.25">
      <c r="A169" s="22" t="s">
        <v>282</v>
      </c>
      <c r="B169" s="22" t="s">
        <v>283</v>
      </c>
      <c r="C169" s="70">
        <v>-4919.1899999999996</v>
      </c>
      <c r="D169" s="70">
        <v>-60000</v>
      </c>
      <c r="E169" s="70">
        <v>91.8</v>
      </c>
      <c r="F169" s="70">
        <v>8.1999999999999993</v>
      </c>
      <c r="G169" s="70">
        <v>-55080.81</v>
      </c>
      <c r="H169" s="70">
        <v>-60000</v>
      </c>
      <c r="J169" s="102">
        <f>I169*DATAARK!$B$3</f>
        <v>0</v>
      </c>
      <c r="K169" s="102">
        <f>J169*DATAARK!$C$3</f>
        <v>0</v>
      </c>
      <c r="N169" s="40">
        <f t="shared" si="5"/>
        <v>0</v>
      </c>
    </row>
    <row r="170" spans="1:14" x14ac:dyDescent="0.25">
      <c r="A170" s="22" t="s">
        <v>284</v>
      </c>
      <c r="B170" s="22" t="s">
        <v>285</v>
      </c>
      <c r="J170" s="102">
        <f>I170*DATAARK!$B$3</f>
        <v>0</v>
      </c>
      <c r="K170" s="102">
        <f>J170*DATAARK!$C$3</f>
        <v>0</v>
      </c>
      <c r="N170" s="40">
        <f t="shared" si="5"/>
        <v>0</v>
      </c>
    </row>
    <row r="171" spans="1:14" x14ac:dyDescent="0.25">
      <c r="A171" s="22" t="s">
        <v>286</v>
      </c>
      <c r="B171" s="22" t="s">
        <v>287</v>
      </c>
      <c r="J171" s="102">
        <f>I171*DATAARK!$B$3</f>
        <v>0</v>
      </c>
      <c r="K171" s="102">
        <f>J171*DATAARK!$C$3</f>
        <v>0</v>
      </c>
      <c r="N171" s="40">
        <f t="shared" si="5"/>
        <v>0</v>
      </c>
    </row>
    <row r="172" spans="1:14" x14ac:dyDescent="0.25">
      <c r="A172" s="22" t="s">
        <v>288</v>
      </c>
      <c r="B172" s="22" t="s">
        <v>289</v>
      </c>
      <c r="J172" s="102">
        <f>I172*DATAARK!$B$3</f>
        <v>0</v>
      </c>
      <c r="K172" s="102">
        <f>J172*DATAARK!$C$3</f>
        <v>0</v>
      </c>
      <c r="N172" s="40">
        <f t="shared" si="5"/>
        <v>0</v>
      </c>
    </row>
    <row r="173" spans="1:14" x14ac:dyDescent="0.25">
      <c r="A173" s="22" t="s">
        <v>290</v>
      </c>
      <c r="B173" s="22" t="s">
        <v>291</v>
      </c>
      <c r="D173" s="70">
        <v>-20000</v>
      </c>
      <c r="E173" s="70">
        <v>100</v>
      </c>
      <c r="G173" s="70">
        <v>-20000</v>
      </c>
      <c r="H173" s="70">
        <v>-20000</v>
      </c>
      <c r="I173" s="103">
        <v>-20000</v>
      </c>
      <c r="J173" s="102">
        <f>I173*DATAARK!$B$3</f>
        <v>-20000</v>
      </c>
      <c r="K173" s="102">
        <f>J173*DATAARK!$C$3</f>
        <v>-20000</v>
      </c>
      <c r="N173" s="40">
        <f t="shared" si="5"/>
        <v>0</v>
      </c>
    </row>
    <row r="174" spans="1:14" x14ac:dyDescent="0.25">
      <c r="A174" s="22" t="s">
        <v>292</v>
      </c>
      <c r="B174" s="22" t="s">
        <v>293</v>
      </c>
      <c r="C174" s="70">
        <v>-22784.799999999999</v>
      </c>
      <c r="D174" s="70">
        <v>-52800</v>
      </c>
      <c r="E174" s="70">
        <v>56.85</v>
      </c>
      <c r="F174" s="70">
        <v>43.15</v>
      </c>
      <c r="G174" s="70">
        <v>-30015.200000000001</v>
      </c>
      <c r="H174" s="70">
        <v>-52800</v>
      </c>
      <c r="I174" s="103">
        <v>-52800</v>
      </c>
      <c r="J174" s="102">
        <f>I174*DATAARK!$B$3</f>
        <v>-52800</v>
      </c>
      <c r="K174" s="102">
        <f>J174*DATAARK!$C$3</f>
        <v>-52800</v>
      </c>
      <c r="N174" s="40">
        <f t="shared" si="5"/>
        <v>0</v>
      </c>
    </row>
    <row r="175" spans="1:14" x14ac:dyDescent="0.25">
      <c r="A175" s="22" t="s">
        <v>294</v>
      </c>
      <c r="B175" s="22" t="s">
        <v>295</v>
      </c>
      <c r="C175" s="70">
        <v>-11000</v>
      </c>
      <c r="G175" s="70">
        <v>11000</v>
      </c>
      <c r="H175" s="70">
        <v>-11000</v>
      </c>
      <c r="J175" s="102">
        <f>I175*DATAARK!$B$3</f>
        <v>0</v>
      </c>
      <c r="K175" s="102">
        <f>J175*DATAARK!$C$3</f>
        <v>0</v>
      </c>
      <c r="N175" s="40">
        <f t="shared" si="5"/>
        <v>0</v>
      </c>
    </row>
    <row r="176" spans="1:14" x14ac:dyDescent="0.25">
      <c r="A176" s="22" t="s">
        <v>296</v>
      </c>
      <c r="B176" s="22" t="s">
        <v>297</v>
      </c>
      <c r="C176" s="70">
        <v>-378.75</v>
      </c>
      <c r="D176" s="70">
        <v>-3000</v>
      </c>
      <c r="E176" s="70">
        <v>87.38</v>
      </c>
      <c r="F176" s="70">
        <v>12.63</v>
      </c>
      <c r="G176" s="70">
        <v>-2621.25</v>
      </c>
      <c r="H176" s="70">
        <v>-3000</v>
      </c>
      <c r="I176" s="103">
        <v>-3000</v>
      </c>
      <c r="J176" s="102">
        <f>I176*DATAARK!$B$3</f>
        <v>-3000</v>
      </c>
      <c r="K176" s="102">
        <f>J176*DATAARK!$C$3</f>
        <v>-3000</v>
      </c>
      <c r="N176" s="40">
        <f t="shared" si="5"/>
        <v>0</v>
      </c>
    </row>
    <row r="177" spans="1:14" x14ac:dyDescent="0.25">
      <c r="A177" s="22" t="s">
        <v>298</v>
      </c>
      <c r="B177" s="22" t="s">
        <v>299</v>
      </c>
      <c r="C177" s="70">
        <v>-92569.98</v>
      </c>
      <c r="D177" s="70">
        <v>-350000</v>
      </c>
      <c r="E177" s="70">
        <v>73.55</v>
      </c>
      <c r="F177" s="70">
        <v>26.45</v>
      </c>
      <c r="G177" s="70">
        <v>-257430.02</v>
      </c>
      <c r="H177" s="70">
        <v>-350000</v>
      </c>
      <c r="I177" s="103">
        <v>-350000</v>
      </c>
      <c r="J177" s="102">
        <f>I177*DATAARK!$B$3</f>
        <v>-350000</v>
      </c>
      <c r="K177" s="102">
        <f>J177*DATAARK!$C$3</f>
        <v>-350000</v>
      </c>
      <c r="N177" s="40">
        <f t="shared" si="5"/>
        <v>0</v>
      </c>
    </row>
    <row r="178" spans="1:14" x14ac:dyDescent="0.25">
      <c r="A178" s="22" t="s">
        <v>300</v>
      </c>
      <c r="B178" s="22" t="s">
        <v>301</v>
      </c>
      <c r="C178" s="70">
        <v>-5706</v>
      </c>
      <c r="D178" s="70">
        <v>-5000</v>
      </c>
      <c r="E178" s="70">
        <v>-14.12</v>
      </c>
      <c r="F178" s="70">
        <v>114.12</v>
      </c>
      <c r="G178" s="70">
        <v>706</v>
      </c>
      <c r="H178" s="70">
        <v>-5706</v>
      </c>
      <c r="I178" s="103">
        <f>C178</f>
        <v>-5706</v>
      </c>
      <c r="J178" s="102">
        <f>I178*DATAARK!$B$3</f>
        <v>-5706</v>
      </c>
      <c r="K178" s="102">
        <f>J178*DATAARK!$C$3</f>
        <v>-5706</v>
      </c>
      <c r="N178" s="40">
        <f t="shared" si="5"/>
        <v>0</v>
      </c>
    </row>
    <row r="179" spans="1:14" x14ac:dyDescent="0.25">
      <c r="A179" s="22" t="s">
        <v>302</v>
      </c>
      <c r="B179" s="22" t="s">
        <v>303</v>
      </c>
      <c r="C179" s="70">
        <v>-1928</v>
      </c>
      <c r="D179" s="70">
        <v>-5000</v>
      </c>
      <c r="E179" s="70">
        <v>61.44</v>
      </c>
      <c r="F179" s="70">
        <v>38.56</v>
      </c>
      <c r="G179" s="70">
        <v>-3072</v>
      </c>
      <c r="H179" s="70">
        <v>-5000</v>
      </c>
      <c r="I179" s="103">
        <v>-5000</v>
      </c>
      <c r="J179" s="102">
        <f>I179*DATAARK!$B$3</f>
        <v>-5000</v>
      </c>
      <c r="K179" s="102">
        <f>J179*DATAARK!$C$3</f>
        <v>-5000</v>
      </c>
      <c r="N179" s="40">
        <f t="shared" si="5"/>
        <v>0</v>
      </c>
    </row>
    <row r="180" spans="1:14" x14ac:dyDescent="0.25">
      <c r="A180" s="22" t="s">
        <v>304</v>
      </c>
      <c r="B180" s="22" t="s">
        <v>305</v>
      </c>
      <c r="D180" s="70">
        <v>-10000</v>
      </c>
      <c r="E180" s="70">
        <v>100</v>
      </c>
      <c r="G180" s="70">
        <v>-10000</v>
      </c>
      <c r="H180" s="70">
        <v>-5000</v>
      </c>
      <c r="I180" s="103">
        <v>-5000</v>
      </c>
      <c r="J180" s="102">
        <f>I180*DATAARK!$B$3</f>
        <v>-5000</v>
      </c>
      <c r="K180" s="102">
        <f>J180*DATAARK!$C$3</f>
        <v>-5000</v>
      </c>
      <c r="N180" s="40">
        <f t="shared" si="5"/>
        <v>0</v>
      </c>
    </row>
    <row r="181" spans="1:14" x14ac:dyDescent="0.25">
      <c r="A181" s="22" t="s">
        <v>306</v>
      </c>
      <c r="B181" s="22" t="s">
        <v>307</v>
      </c>
      <c r="C181" s="70">
        <v>-3956.58</v>
      </c>
      <c r="D181" s="70">
        <v>-10000</v>
      </c>
      <c r="E181" s="70">
        <v>60.43</v>
      </c>
      <c r="F181" s="70">
        <v>39.57</v>
      </c>
      <c r="G181" s="70">
        <v>-6043.42</v>
      </c>
      <c r="H181" s="70">
        <v>-10000</v>
      </c>
      <c r="I181" s="103">
        <v>-10000</v>
      </c>
      <c r="J181" s="102">
        <f>I181*DATAARK!$B$3</f>
        <v>-10000</v>
      </c>
      <c r="K181" s="102">
        <f>J181*DATAARK!$C$3</f>
        <v>-10000</v>
      </c>
      <c r="N181" s="40">
        <f t="shared" si="5"/>
        <v>0</v>
      </c>
    </row>
    <row r="182" spans="1:14" x14ac:dyDescent="0.25">
      <c r="A182" s="22" t="s">
        <v>308</v>
      </c>
      <c r="B182" s="22" t="s">
        <v>309</v>
      </c>
      <c r="C182" s="70">
        <v>-23741.78</v>
      </c>
      <c r="D182" s="70">
        <v>-50000</v>
      </c>
      <c r="E182" s="70">
        <v>52.52</v>
      </c>
      <c r="F182" s="70">
        <v>47.48</v>
      </c>
      <c r="G182" s="70">
        <v>-26258.22</v>
      </c>
      <c r="H182" s="70">
        <v>-50000</v>
      </c>
      <c r="I182" s="103">
        <v>-50000</v>
      </c>
      <c r="J182" s="102">
        <f>I182*DATAARK!$B$3</f>
        <v>-50000</v>
      </c>
      <c r="K182" s="102">
        <f>J182*DATAARK!$C$3</f>
        <v>-50000</v>
      </c>
      <c r="N182" s="40">
        <f t="shared" si="5"/>
        <v>0</v>
      </c>
    </row>
    <row r="183" spans="1:14" x14ac:dyDescent="0.25">
      <c r="A183" s="22" t="s">
        <v>310</v>
      </c>
      <c r="B183" s="22" t="s">
        <v>311</v>
      </c>
      <c r="J183" s="102">
        <f>I183*DATAARK!$B$3</f>
        <v>0</v>
      </c>
      <c r="K183" s="102">
        <f>J183*DATAARK!$C$3</f>
        <v>0</v>
      </c>
      <c r="N183" s="40">
        <f t="shared" si="5"/>
        <v>0</v>
      </c>
    </row>
    <row r="184" spans="1:14" x14ac:dyDescent="0.25">
      <c r="A184" s="22" t="s">
        <v>312</v>
      </c>
      <c r="B184" s="22" t="s">
        <v>313</v>
      </c>
      <c r="C184" s="70">
        <v>-8552.7000000000007</v>
      </c>
      <c r="D184" s="70">
        <v>-51333.33</v>
      </c>
      <c r="E184" s="70">
        <v>83.34</v>
      </c>
      <c r="F184" s="70">
        <v>16.66</v>
      </c>
      <c r="G184" s="70">
        <v>-42780.63</v>
      </c>
      <c r="H184" s="70">
        <v>-51333.33</v>
      </c>
      <c r="I184" s="103">
        <v>-51333.33</v>
      </c>
      <c r="J184" s="102">
        <f>I184*DATAARK!$B$3</f>
        <v>-51333.33</v>
      </c>
      <c r="K184" s="102">
        <f>J184*DATAARK!$C$3</f>
        <v>-51333.33</v>
      </c>
      <c r="N184" s="40">
        <f t="shared" si="5"/>
        <v>0</v>
      </c>
    </row>
    <row r="185" spans="1:14" x14ac:dyDescent="0.25">
      <c r="A185" s="22" t="s">
        <v>314</v>
      </c>
      <c r="B185" s="22" t="s">
        <v>315</v>
      </c>
      <c r="C185" s="70">
        <v>-11808.6</v>
      </c>
      <c r="D185" s="70">
        <v>-60000</v>
      </c>
      <c r="E185" s="70">
        <v>80.319999999999993</v>
      </c>
      <c r="F185" s="70">
        <v>19.68</v>
      </c>
      <c r="G185" s="70">
        <v>-48191.4</v>
      </c>
      <c r="H185" s="70">
        <v>-60000</v>
      </c>
      <c r="I185" s="103">
        <v>-60000</v>
      </c>
      <c r="J185" s="102">
        <f>I185*DATAARK!$B$3</f>
        <v>-60000</v>
      </c>
      <c r="K185" s="102">
        <f>J185*DATAARK!$C$3</f>
        <v>-60000</v>
      </c>
      <c r="N185" s="40">
        <f t="shared" si="5"/>
        <v>0</v>
      </c>
    </row>
    <row r="186" spans="1:14" x14ac:dyDescent="0.25">
      <c r="A186" s="22" t="s">
        <v>316</v>
      </c>
      <c r="B186" s="22" t="s">
        <v>317</v>
      </c>
      <c r="C186" s="70">
        <v>-2351.9499999999998</v>
      </c>
      <c r="D186" s="70">
        <v>-15000</v>
      </c>
      <c r="E186" s="70">
        <v>84.32</v>
      </c>
      <c r="F186" s="70">
        <v>15.68</v>
      </c>
      <c r="G186" s="70">
        <v>-12648.05</v>
      </c>
      <c r="H186" s="70">
        <v>-15000</v>
      </c>
      <c r="I186" s="103">
        <v>-15000</v>
      </c>
      <c r="J186" s="102">
        <f>I186*DATAARK!$B$3</f>
        <v>-15000</v>
      </c>
      <c r="K186" s="102">
        <f>J186*DATAARK!$C$3</f>
        <v>-15000</v>
      </c>
      <c r="N186" s="40">
        <f t="shared" si="5"/>
        <v>0</v>
      </c>
    </row>
    <row r="187" spans="1:14" x14ac:dyDescent="0.25">
      <c r="A187" s="22" t="s">
        <v>318</v>
      </c>
      <c r="B187" s="22" t="s">
        <v>319</v>
      </c>
      <c r="C187" s="70">
        <v>-33866.629999999997</v>
      </c>
      <c r="D187" s="70">
        <v>-120000</v>
      </c>
      <c r="E187" s="70">
        <v>71.78</v>
      </c>
      <c r="F187" s="70">
        <v>28.22</v>
      </c>
      <c r="G187" s="70">
        <v>-86133.37</v>
      </c>
      <c r="H187" s="70">
        <v>-120000</v>
      </c>
      <c r="I187" s="103">
        <v>-120000</v>
      </c>
      <c r="J187" s="102">
        <f>I187*DATAARK!$B$3</f>
        <v>-120000</v>
      </c>
      <c r="K187" s="102">
        <f>J187*DATAARK!$C$3</f>
        <v>-120000</v>
      </c>
      <c r="N187" s="40">
        <f t="shared" si="5"/>
        <v>0</v>
      </c>
    </row>
    <row r="188" spans="1:14" x14ac:dyDescent="0.25">
      <c r="A188" s="22" t="s">
        <v>320</v>
      </c>
      <c r="B188" s="22" t="s">
        <v>321</v>
      </c>
      <c r="C188" s="70">
        <v>-345.08</v>
      </c>
      <c r="D188" s="70">
        <v>-41066.67</v>
      </c>
      <c r="E188" s="70">
        <v>99.16</v>
      </c>
      <c r="F188" s="70">
        <v>0.84</v>
      </c>
      <c r="G188" s="70">
        <v>-40721.589999999997</v>
      </c>
      <c r="H188" s="70">
        <v>-41066.67</v>
      </c>
      <c r="I188" s="103">
        <v>-41066.67</v>
      </c>
      <c r="J188" s="102">
        <f>I188*DATAARK!$B$3</f>
        <v>-41066.67</v>
      </c>
      <c r="K188" s="102">
        <f>J188*DATAARK!$C$3</f>
        <v>-41066.67</v>
      </c>
      <c r="N188" s="40">
        <f t="shared" si="5"/>
        <v>0</v>
      </c>
    </row>
    <row r="189" spans="1:14" x14ac:dyDescent="0.25">
      <c r="A189" s="22" t="s">
        <v>322</v>
      </c>
      <c r="B189" s="22" t="s">
        <v>323</v>
      </c>
      <c r="C189" s="70">
        <v>-111838.85</v>
      </c>
      <c r="D189" s="70">
        <v>-425000</v>
      </c>
      <c r="E189" s="70">
        <v>73.680000000000007</v>
      </c>
      <c r="F189" s="70">
        <v>26.32</v>
      </c>
      <c r="G189" s="70">
        <v>-313161.15000000002</v>
      </c>
      <c r="H189" s="70">
        <v>-425000</v>
      </c>
      <c r="I189" s="103">
        <v>-425000</v>
      </c>
      <c r="J189" s="102">
        <f>I189*DATAARK!$B$3</f>
        <v>-425000</v>
      </c>
      <c r="K189" s="102">
        <f>J189*DATAARK!$C$3</f>
        <v>-425000</v>
      </c>
      <c r="N189" s="40">
        <f t="shared" si="5"/>
        <v>0</v>
      </c>
    </row>
    <row r="190" spans="1:14" x14ac:dyDescent="0.25">
      <c r="A190" s="22" t="s">
        <v>324</v>
      </c>
      <c r="B190" s="22" t="s">
        <v>325</v>
      </c>
      <c r="C190" s="70">
        <v>-882</v>
      </c>
      <c r="G190" s="70">
        <v>882</v>
      </c>
      <c r="H190" s="70">
        <v>-882</v>
      </c>
      <c r="J190" s="102">
        <f>I190*DATAARK!$B$3</f>
        <v>0</v>
      </c>
      <c r="K190" s="102">
        <f>J190*DATAARK!$C$3</f>
        <v>0</v>
      </c>
      <c r="N190" s="40">
        <f t="shared" si="5"/>
        <v>0</v>
      </c>
    </row>
    <row r="191" spans="1:14" x14ac:dyDescent="0.25">
      <c r="A191" s="22" t="s">
        <v>326</v>
      </c>
      <c r="B191" s="22" t="s">
        <v>327</v>
      </c>
      <c r="C191" s="70">
        <v>-977</v>
      </c>
      <c r="G191" s="70">
        <v>977</v>
      </c>
      <c r="H191" s="70">
        <v>-977</v>
      </c>
      <c r="J191" s="102">
        <f>I191*DATAARK!$B$3</f>
        <v>0</v>
      </c>
      <c r="K191" s="102">
        <f>J191*DATAARK!$C$3</f>
        <v>0</v>
      </c>
      <c r="N191" s="40">
        <f t="shared" si="5"/>
        <v>0</v>
      </c>
    </row>
    <row r="192" spans="1:14" x14ac:dyDescent="0.25">
      <c r="A192" s="22" t="s">
        <v>328</v>
      </c>
      <c r="B192" s="22" t="s">
        <v>329</v>
      </c>
      <c r="D192" s="70">
        <v>-95000</v>
      </c>
      <c r="E192" s="70">
        <v>100</v>
      </c>
      <c r="G192" s="70">
        <v>-95000</v>
      </c>
      <c r="H192" s="70">
        <v>-95000</v>
      </c>
      <c r="J192" s="102">
        <f>I192*DATAARK!$B$3</f>
        <v>0</v>
      </c>
      <c r="K192" s="102">
        <f>J192*DATAARK!$C$3</f>
        <v>0</v>
      </c>
      <c r="N192" s="40">
        <f t="shared" si="5"/>
        <v>0</v>
      </c>
    </row>
    <row r="193" spans="1:14" x14ac:dyDescent="0.25">
      <c r="A193" s="22" t="s">
        <v>330</v>
      </c>
      <c r="B193" s="22" t="s">
        <v>331</v>
      </c>
      <c r="C193" s="70">
        <v>-27628.67</v>
      </c>
      <c r="D193" s="70">
        <v>-100000</v>
      </c>
      <c r="E193" s="70">
        <v>72.37</v>
      </c>
      <c r="F193" s="70">
        <v>27.63</v>
      </c>
      <c r="G193" s="70">
        <v>-72371.33</v>
      </c>
      <c r="H193" s="70">
        <v>-100000</v>
      </c>
      <c r="I193" s="103">
        <v>-100000</v>
      </c>
      <c r="J193" s="102">
        <f>I193*DATAARK!$B$3</f>
        <v>-100000</v>
      </c>
      <c r="K193" s="102">
        <f>J193*DATAARK!$C$3</f>
        <v>-100000</v>
      </c>
      <c r="N193" s="40">
        <f t="shared" si="5"/>
        <v>0</v>
      </c>
    </row>
    <row r="194" spans="1:14" x14ac:dyDescent="0.25">
      <c r="A194" s="22" t="s">
        <v>332</v>
      </c>
      <c r="B194" s="22" t="s">
        <v>333</v>
      </c>
      <c r="J194" s="102">
        <f>I194*DATAARK!$B$3</f>
        <v>0</v>
      </c>
      <c r="K194" s="102">
        <f>J194*DATAARK!$C$3</f>
        <v>0</v>
      </c>
      <c r="N194" s="40">
        <f t="shared" si="5"/>
        <v>0</v>
      </c>
    </row>
    <row r="195" spans="1:14" x14ac:dyDescent="0.25">
      <c r="A195" s="22" t="s">
        <v>334</v>
      </c>
      <c r="B195" s="22" t="s">
        <v>335</v>
      </c>
      <c r="J195" s="102">
        <f>I195*DATAARK!$B$3</f>
        <v>0</v>
      </c>
      <c r="K195" s="102">
        <f>J195*DATAARK!$C$3</f>
        <v>0</v>
      </c>
      <c r="N195" s="40">
        <f t="shared" si="5"/>
        <v>0</v>
      </c>
    </row>
    <row r="196" spans="1:14" x14ac:dyDescent="0.25">
      <c r="A196" s="22" t="s">
        <v>336</v>
      </c>
      <c r="B196" s="22" t="s">
        <v>337</v>
      </c>
      <c r="J196" s="102">
        <f>I196*DATAARK!$B$3</f>
        <v>0</v>
      </c>
      <c r="K196" s="102">
        <f>J196*DATAARK!$C$3</f>
        <v>0</v>
      </c>
      <c r="N196" s="40">
        <f t="shared" si="5"/>
        <v>0</v>
      </c>
    </row>
    <row r="197" spans="1:14" x14ac:dyDescent="0.25">
      <c r="A197" s="22" t="s">
        <v>338</v>
      </c>
      <c r="B197" s="22" t="s">
        <v>339</v>
      </c>
      <c r="J197" s="102">
        <f>I197*DATAARK!$B$3</f>
        <v>0</v>
      </c>
      <c r="K197" s="102">
        <f>J197*DATAARK!$C$3</f>
        <v>0</v>
      </c>
      <c r="N197" s="40">
        <f t="shared" si="5"/>
        <v>0</v>
      </c>
    </row>
    <row r="198" spans="1:14" x14ac:dyDescent="0.25">
      <c r="A198" s="23" t="s">
        <v>340</v>
      </c>
      <c r="B198" s="23" t="s">
        <v>341</v>
      </c>
      <c r="C198" s="71">
        <v>-1208243.96</v>
      </c>
      <c r="D198" s="71">
        <v>-3906497.12</v>
      </c>
      <c r="E198" s="71">
        <v>69.069999999999993</v>
      </c>
      <c r="F198" s="71">
        <v>30.93</v>
      </c>
      <c r="G198" s="71">
        <v>-2698253.16</v>
      </c>
      <c r="H198" s="71">
        <v>-3779107.4809999992</v>
      </c>
      <c r="I198" s="90">
        <f>SUM(I139:I197)</f>
        <v>-2740483.6359999999</v>
      </c>
      <c r="J198" s="104">
        <f>SUM(J139:J197)</f>
        <v>-3595194.6691549998</v>
      </c>
      <c r="K198" s="90">
        <f>SUM(K139:K197)</f>
        <v>-3196683.6267969999</v>
      </c>
      <c r="N198" s="40">
        <f t="shared" si="5"/>
        <v>0</v>
      </c>
    </row>
    <row r="199" spans="1:14" x14ac:dyDescent="0.25">
      <c r="A199" s="22" t="s">
        <v>12</v>
      </c>
      <c r="B199" s="22" t="s">
        <v>12</v>
      </c>
      <c r="N199" s="40">
        <f t="shared" si="5"/>
        <v>0</v>
      </c>
    </row>
    <row r="200" spans="1:14" x14ac:dyDescent="0.25">
      <c r="A200" s="23" t="s">
        <v>342</v>
      </c>
      <c r="B200" s="23" t="s">
        <v>343</v>
      </c>
      <c r="C200" s="71"/>
      <c r="D200" s="71"/>
      <c r="E200" s="71"/>
      <c r="F200" s="71"/>
      <c r="G200" s="71"/>
      <c r="H200" s="71"/>
      <c r="I200" s="90"/>
      <c r="J200" s="104"/>
      <c r="K200" s="90"/>
      <c r="N200" s="40">
        <f t="shared" si="5"/>
        <v>0</v>
      </c>
    </row>
    <row r="201" spans="1:14" x14ac:dyDescent="0.25">
      <c r="A201" s="22" t="s">
        <v>344</v>
      </c>
      <c r="B201" s="22" t="s">
        <v>345</v>
      </c>
      <c r="J201" s="102">
        <f>I201*DATAARK!$B$3</f>
        <v>0</v>
      </c>
      <c r="K201" s="102">
        <f>J201*DATAARK!$C$3</f>
        <v>0</v>
      </c>
      <c r="N201" s="40">
        <f t="shared" si="5"/>
        <v>0</v>
      </c>
    </row>
    <row r="202" spans="1:14" x14ac:dyDescent="0.25">
      <c r="A202" s="22" t="s">
        <v>346</v>
      </c>
      <c r="B202" s="22" t="s">
        <v>347</v>
      </c>
      <c r="J202" s="102">
        <f>I202*DATAARK!$B$3</f>
        <v>0</v>
      </c>
      <c r="K202" s="102">
        <f>J202*DATAARK!$C$3</f>
        <v>0</v>
      </c>
      <c r="N202" s="40">
        <f t="shared" si="5"/>
        <v>0</v>
      </c>
    </row>
    <row r="203" spans="1:14" x14ac:dyDescent="0.25">
      <c r="A203" s="22" t="s">
        <v>348</v>
      </c>
      <c r="B203" s="22" t="s">
        <v>349</v>
      </c>
      <c r="J203" s="102">
        <f>I203*DATAARK!$B$3</f>
        <v>0</v>
      </c>
      <c r="K203" s="102">
        <f>J203*DATAARK!$C$3</f>
        <v>0</v>
      </c>
      <c r="N203" s="40">
        <f t="shared" si="5"/>
        <v>0</v>
      </c>
    </row>
    <row r="204" spans="1:14" x14ac:dyDescent="0.25">
      <c r="A204" s="22" t="s">
        <v>350</v>
      </c>
      <c r="B204" s="22" t="s">
        <v>351</v>
      </c>
      <c r="J204" s="102">
        <f>I204*DATAARK!$B$3</f>
        <v>0</v>
      </c>
      <c r="K204" s="102">
        <f>J204*DATAARK!$C$3</f>
        <v>0</v>
      </c>
      <c r="N204" s="40">
        <f t="shared" ref="N204:N245" si="6">IF(J204&gt;0,1,0)</f>
        <v>0</v>
      </c>
    </row>
    <row r="205" spans="1:14" x14ac:dyDescent="0.25">
      <c r="A205" s="22" t="s">
        <v>352</v>
      </c>
      <c r="B205" s="22" t="s">
        <v>353</v>
      </c>
      <c r="J205" s="102">
        <f>I205*DATAARK!$B$3</f>
        <v>0</v>
      </c>
      <c r="K205" s="102">
        <f>J205*DATAARK!$C$3</f>
        <v>0</v>
      </c>
      <c r="N205" s="40">
        <f t="shared" si="6"/>
        <v>0</v>
      </c>
    </row>
    <row r="206" spans="1:14" x14ac:dyDescent="0.25">
      <c r="A206" s="22" t="s">
        <v>354</v>
      </c>
      <c r="B206" s="22" t="s">
        <v>355</v>
      </c>
      <c r="J206" s="102">
        <f>I206*DATAARK!$B$3</f>
        <v>0</v>
      </c>
      <c r="K206" s="102">
        <f>J206*DATAARK!$C$3</f>
        <v>0</v>
      </c>
      <c r="N206" s="40">
        <f t="shared" si="6"/>
        <v>0</v>
      </c>
    </row>
    <row r="207" spans="1:14" x14ac:dyDescent="0.25">
      <c r="A207" s="22" t="s">
        <v>356</v>
      </c>
      <c r="B207" s="22" t="s">
        <v>357</v>
      </c>
      <c r="J207" s="102">
        <f>I207*DATAARK!$B$3</f>
        <v>0</v>
      </c>
      <c r="K207" s="102">
        <f>J207*DATAARK!$C$3</f>
        <v>0</v>
      </c>
      <c r="N207" s="40">
        <f t="shared" si="6"/>
        <v>0</v>
      </c>
    </row>
    <row r="208" spans="1:14" x14ac:dyDescent="0.25">
      <c r="A208" s="22" t="s">
        <v>358</v>
      </c>
      <c r="B208" s="22" t="s">
        <v>359</v>
      </c>
      <c r="J208" s="102">
        <f>I208*DATAARK!$B$3</f>
        <v>0</v>
      </c>
      <c r="K208" s="102">
        <f>J208*DATAARK!$C$3</f>
        <v>0</v>
      </c>
      <c r="N208" s="40">
        <f t="shared" si="6"/>
        <v>0</v>
      </c>
    </row>
    <row r="209" spans="1:14" x14ac:dyDescent="0.25">
      <c r="A209" s="23" t="s">
        <v>360</v>
      </c>
      <c r="B209" s="23" t="s">
        <v>361</v>
      </c>
      <c r="C209" s="71"/>
      <c r="D209" s="71"/>
      <c r="E209" s="71"/>
      <c r="F209" s="71"/>
      <c r="G209" s="71"/>
      <c r="H209" s="71">
        <v>0</v>
      </c>
      <c r="I209" s="90">
        <f>SUM(I201:I208)</f>
        <v>0</v>
      </c>
      <c r="J209" s="104">
        <f>SUM(J201:J208)</f>
        <v>0</v>
      </c>
      <c r="K209" s="90">
        <f>SUM(K201:K208)</f>
        <v>0</v>
      </c>
      <c r="N209" s="40">
        <f t="shared" si="6"/>
        <v>0</v>
      </c>
    </row>
    <row r="210" spans="1:14" x14ac:dyDescent="0.25">
      <c r="A210" s="22" t="s">
        <v>12</v>
      </c>
      <c r="B210" s="22" t="s">
        <v>12</v>
      </c>
      <c r="N210" s="40">
        <f t="shared" si="6"/>
        <v>0</v>
      </c>
    </row>
    <row r="211" spans="1:14" x14ac:dyDescent="0.25">
      <c r="A211" s="23" t="s">
        <v>362</v>
      </c>
      <c r="B211" s="23" t="s">
        <v>40</v>
      </c>
      <c r="C211" s="71"/>
      <c r="D211" s="71"/>
      <c r="E211" s="71"/>
      <c r="F211" s="71"/>
      <c r="G211" s="71"/>
      <c r="H211" s="71"/>
      <c r="I211" s="90"/>
      <c r="J211" s="104"/>
      <c r="K211" s="90"/>
      <c r="N211" s="40">
        <f t="shared" si="6"/>
        <v>0</v>
      </c>
    </row>
    <row r="212" spans="1:14" x14ac:dyDescent="0.25">
      <c r="A212" s="22" t="s">
        <v>363</v>
      </c>
      <c r="B212" s="22" t="s">
        <v>364</v>
      </c>
      <c r="J212" s="102">
        <f>I212*DATAARK!$B$3</f>
        <v>0</v>
      </c>
      <c r="K212" s="102">
        <f>J212*DATAARK!$C$3</f>
        <v>0</v>
      </c>
      <c r="N212" s="40">
        <f t="shared" si="6"/>
        <v>0</v>
      </c>
    </row>
    <row r="213" spans="1:14" x14ac:dyDescent="0.25">
      <c r="A213" s="22" t="s">
        <v>365</v>
      </c>
      <c r="B213" s="22" t="s">
        <v>366</v>
      </c>
      <c r="C213" s="70">
        <v>-7383.48</v>
      </c>
      <c r="D213" s="70">
        <v>-33562</v>
      </c>
      <c r="E213" s="70">
        <v>78</v>
      </c>
      <c r="F213" s="70">
        <v>22</v>
      </c>
      <c r="G213" s="70">
        <v>-26178.52</v>
      </c>
      <c r="H213" s="70">
        <v>-33562</v>
      </c>
      <c r="I213" s="103">
        <v>-33562</v>
      </c>
      <c r="J213" s="102">
        <f>I213*DATAARK!$B$3</f>
        <v>-33562</v>
      </c>
      <c r="K213" s="102">
        <f>J213*DATAARK!$C$3</f>
        <v>-33562</v>
      </c>
      <c r="N213" s="40">
        <f t="shared" si="6"/>
        <v>0</v>
      </c>
    </row>
    <row r="214" spans="1:14" x14ac:dyDescent="0.25">
      <c r="A214" s="22" t="s">
        <v>367</v>
      </c>
      <c r="B214" s="22" t="s">
        <v>368</v>
      </c>
      <c r="J214" s="102">
        <f>I214*DATAARK!$B$3</f>
        <v>0</v>
      </c>
      <c r="K214" s="102">
        <f>J214*DATAARK!$C$3</f>
        <v>0</v>
      </c>
      <c r="N214" s="40">
        <f t="shared" si="6"/>
        <v>0</v>
      </c>
    </row>
    <row r="215" spans="1:14" x14ac:dyDescent="0.25">
      <c r="A215" s="22" t="s">
        <v>369</v>
      </c>
      <c r="B215" s="22" t="s">
        <v>370</v>
      </c>
      <c r="C215" s="70">
        <v>-588.23</v>
      </c>
      <c r="G215" s="70">
        <v>588.23</v>
      </c>
      <c r="H215" s="70">
        <v>-588.23</v>
      </c>
      <c r="J215" s="102">
        <f>I215*DATAARK!$B$3</f>
        <v>0</v>
      </c>
      <c r="K215" s="102">
        <f>J215*DATAARK!$C$3</f>
        <v>0</v>
      </c>
      <c r="N215" s="40">
        <f t="shared" si="6"/>
        <v>0</v>
      </c>
    </row>
    <row r="216" spans="1:14" x14ac:dyDescent="0.25">
      <c r="A216" s="22" t="s">
        <v>371</v>
      </c>
      <c r="B216" s="22" t="s">
        <v>372</v>
      </c>
      <c r="J216" s="102">
        <f>I216*DATAARK!$B$3</f>
        <v>0</v>
      </c>
      <c r="K216" s="102">
        <f>J216*DATAARK!$C$3</f>
        <v>0</v>
      </c>
      <c r="N216" s="40">
        <f t="shared" si="6"/>
        <v>0</v>
      </c>
    </row>
    <row r="217" spans="1:14" x14ac:dyDescent="0.25">
      <c r="A217" s="22" t="s">
        <v>373</v>
      </c>
      <c r="B217" s="22" t="s">
        <v>374</v>
      </c>
      <c r="J217" s="102">
        <f>I217*DATAARK!$B$3</f>
        <v>0</v>
      </c>
      <c r="K217" s="102">
        <f>J217*DATAARK!$C$3</f>
        <v>0</v>
      </c>
      <c r="N217" s="40">
        <f t="shared" si="6"/>
        <v>0</v>
      </c>
    </row>
    <row r="218" spans="1:14" x14ac:dyDescent="0.25">
      <c r="A218" s="22" t="s">
        <v>375</v>
      </c>
      <c r="B218" s="22" t="s">
        <v>376</v>
      </c>
      <c r="J218" s="102">
        <f>I218*DATAARK!$B$3</f>
        <v>0</v>
      </c>
      <c r="K218" s="102">
        <f>J218*DATAARK!$C$3</f>
        <v>0</v>
      </c>
      <c r="N218" s="40">
        <f t="shared" si="6"/>
        <v>0</v>
      </c>
    </row>
    <row r="219" spans="1:14" x14ac:dyDescent="0.25">
      <c r="A219" s="23" t="s">
        <v>377</v>
      </c>
      <c r="B219" s="23" t="s">
        <v>378</v>
      </c>
      <c r="C219" s="71">
        <v>-7971.71</v>
      </c>
      <c r="D219" s="71">
        <v>-33562</v>
      </c>
      <c r="E219" s="71">
        <v>76.25</v>
      </c>
      <c r="F219" s="71">
        <v>23.75</v>
      </c>
      <c r="G219" s="71">
        <v>-25590.29</v>
      </c>
      <c r="H219" s="71">
        <v>-34150.230000000003</v>
      </c>
      <c r="I219" s="90">
        <f>SUM(I212:I218)</f>
        <v>-33562</v>
      </c>
      <c r="J219" s="104">
        <f>SUM(J212:J218)</f>
        <v>-33562</v>
      </c>
      <c r="K219" s="90">
        <f>SUM(K212:K218)</f>
        <v>-33562</v>
      </c>
      <c r="N219" s="40">
        <f t="shared" si="6"/>
        <v>0</v>
      </c>
    </row>
    <row r="220" spans="1:14" x14ac:dyDescent="0.25">
      <c r="A220" s="22" t="s">
        <v>12</v>
      </c>
      <c r="B220" s="22" t="s">
        <v>12</v>
      </c>
      <c r="N220" s="40">
        <f t="shared" si="6"/>
        <v>0</v>
      </c>
    </row>
    <row r="221" spans="1:14" x14ac:dyDescent="0.25">
      <c r="A221" s="23" t="s">
        <v>379</v>
      </c>
      <c r="B221" s="23" t="s">
        <v>380</v>
      </c>
      <c r="C221" s="71"/>
      <c r="D221" s="71"/>
      <c r="E221" s="71"/>
      <c r="F221" s="71"/>
      <c r="G221" s="71"/>
      <c r="H221" s="71"/>
      <c r="I221" s="90"/>
      <c r="J221" s="104"/>
      <c r="K221" s="90"/>
      <c r="N221" s="40">
        <f t="shared" si="6"/>
        <v>0</v>
      </c>
    </row>
    <row r="222" spans="1:14" x14ac:dyDescent="0.25">
      <c r="A222" s="22" t="s">
        <v>381</v>
      </c>
      <c r="B222" s="22" t="s">
        <v>380</v>
      </c>
      <c r="J222" s="102">
        <f>I222*DATAARK!$B$3</f>
        <v>0</v>
      </c>
      <c r="K222" s="102">
        <f>J222*DATAARK!$C$3</f>
        <v>0</v>
      </c>
      <c r="N222" s="40">
        <f t="shared" si="6"/>
        <v>0</v>
      </c>
    </row>
    <row r="223" spans="1:14" x14ac:dyDescent="0.25">
      <c r="A223" s="23" t="s">
        <v>382</v>
      </c>
      <c r="B223" s="23" t="s">
        <v>383</v>
      </c>
      <c r="C223" s="71"/>
      <c r="D223" s="71"/>
      <c r="E223" s="71"/>
      <c r="F223" s="71"/>
      <c r="G223" s="71"/>
      <c r="H223" s="71">
        <v>0</v>
      </c>
      <c r="I223" s="90">
        <f>I222</f>
        <v>0</v>
      </c>
      <c r="J223" s="104">
        <f>SUM(J222)</f>
        <v>0</v>
      </c>
      <c r="K223" s="90">
        <f>SUM(K222)</f>
        <v>0</v>
      </c>
      <c r="N223" s="40">
        <f t="shared" si="6"/>
        <v>0</v>
      </c>
    </row>
    <row r="224" spans="1:14" x14ac:dyDescent="0.25">
      <c r="A224" s="22" t="s">
        <v>12</v>
      </c>
      <c r="B224" s="22" t="s">
        <v>12</v>
      </c>
      <c r="N224" s="40">
        <f t="shared" si="6"/>
        <v>0</v>
      </c>
    </row>
    <row r="225" spans="1:14" x14ac:dyDescent="0.25">
      <c r="A225" s="23" t="s">
        <v>384</v>
      </c>
      <c r="B225" s="23" t="s">
        <v>385</v>
      </c>
      <c r="C225" s="71"/>
      <c r="D225" s="71"/>
      <c r="E225" s="71"/>
      <c r="F225" s="71"/>
      <c r="G225" s="71"/>
      <c r="H225" s="71"/>
      <c r="I225" s="90"/>
      <c r="J225" s="104"/>
      <c r="K225" s="90"/>
      <c r="N225" s="40">
        <f t="shared" si="6"/>
        <v>0</v>
      </c>
    </row>
    <row r="226" spans="1:14" x14ac:dyDescent="0.25">
      <c r="A226" s="22" t="s">
        <v>386</v>
      </c>
      <c r="B226" s="22" t="s">
        <v>385</v>
      </c>
      <c r="J226" s="102">
        <f>I226*DATAARK!$B$3</f>
        <v>0</v>
      </c>
      <c r="K226" s="102">
        <f>J226*DATAARK!$C$3</f>
        <v>0</v>
      </c>
      <c r="N226" s="40">
        <f t="shared" si="6"/>
        <v>0</v>
      </c>
    </row>
    <row r="227" spans="1:14" x14ac:dyDescent="0.25">
      <c r="A227" s="23" t="s">
        <v>387</v>
      </c>
      <c r="B227" s="23" t="s">
        <v>388</v>
      </c>
      <c r="C227" s="71"/>
      <c r="D227" s="71"/>
      <c r="E227" s="71"/>
      <c r="F227" s="71"/>
      <c r="G227" s="71"/>
      <c r="H227" s="71">
        <v>0</v>
      </c>
      <c r="I227" s="90">
        <f>I226</f>
        <v>0</v>
      </c>
      <c r="J227" s="104">
        <f>J226</f>
        <v>0</v>
      </c>
      <c r="K227" s="90">
        <f>K226</f>
        <v>0</v>
      </c>
      <c r="N227" s="40">
        <f t="shared" si="6"/>
        <v>0</v>
      </c>
    </row>
    <row r="228" spans="1:14" x14ac:dyDescent="0.25">
      <c r="A228" s="22" t="s">
        <v>12</v>
      </c>
      <c r="B228" s="22" t="s">
        <v>12</v>
      </c>
      <c r="N228" s="40">
        <f t="shared" si="6"/>
        <v>0</v>
      </c>
    </row>
    <row r="229" spans="1:14" ht="15.75" thickBot="1" x14ac:dyDescent="0.3">
      <c r="A229" s="24" t="s">
        <v>389</v>
      </c>
      <c r="B229" s="24" t="s">
        <v>390</v>
      </c>
      <c r="C229" s="72">
        <v>-1322399.23</v>
      </c>
      <c r="D229" s="72">
        <v>-1613595.82</v>
      </c>
      <c r="E229" s="72">
        <v>18.05</v>
      </c>
      <c r="F229" s="72">
        <v>81.95</v>
      </c>
      <c r="G229" s="72">
        <v>-291196.59000000003</v>
      </c>
      <c r="H229" s="72">
        <v>-1630282.3287868788</v>
      </c>
      <c r="I229" s="106">
        <f>I219+I209+I223+I227+I198+I136+I127</f>
        <v>1914111.2062131194</v>
      </c>
      <c r="J229" s="105">
        <f>J227+J223+J219+J209+J198+J136+J127</f>
        <v>1754071.7108450001</v>
      </c>
      <c r="K229" s="106">
        <f>K227+K223+K219+K209+K198+K136+K127</f>
        <v>2152582.7532029999</v>
      </c>
      <c r="N229" s="40">
        <f t="shared" si="6"/>
        <v>1</v>
      </c>
    </row>
    <row r="230" spans="1:14" ht="15.75" thickTop="1" x14ac:dyDescent="0.25">
      <c r="A230" s="22" t="s">
        <v>12</v>
      </c>
      <c r="B230" s="22" t="s">
        <v>12</v>
      </c>
      <c r="N230" s="40">
        <f t="shared" si="6"/>
        <v>0</v>
      </c>
    </row>
    <row r="231" spans="1:14" x14ac:dyDescent="0.25">
      <c r="A231" s="23" t="s">
        <v>391</v>
      </c>
      <c r="B231" s="23" t="s">
        <v>392</v>
      </c>
      <c r="C231" s="71"/>
      <c r="D231" s="71"/>
      <c r="E231" s="71"/>
      <c r="F231" s="71"/>
      <c r="G231" s="71"/>
      <c r="H231" s="71"/>
      <c r="I231" s="90"/>
      <c r="J231" s="104"/>
      <c r="K231" s="90"/>
      <c r="N231" s="40">
        <f t="shared" si="6"/>
        <v>0</v>
      </c>
    </row>
    <row r="232" spans="1:14" x14ac:dyDescent="0.25">
      <c r="A232" s="22" t="s">
        <v>393</v>
      </c>
      <c r="B232" s="22" t="s">
        <v>394</v>
      </c>
      <c r="J232" s="102">
        <f>I232*DATAARK!$B$3</f>
        <v>0</v>
      </c>
      <c r="K232" s="102">
        <f>J232*DATAARK!$C$3</f>
        <v>0</v>
      </c>
      <c r="N232" s="40">
        <f t="shared" si="6"/>
        <v>0</v>
      </c>
    </row>
    <row r="233" spans="1:14" x14ac:dyDescent="0.25">
      <c r="A233" s="22" t="s">
        <v>395</v>
      </c>
      <c r="B233" s="22" t="s">
        <v>396</v>
      </c>
      <c r="J233" s="102">
        <f>I233*DATAARK!$B$3</f>
        <v>0</v>
      </c>
      <c r="K233" s="102">
        <f>J233*DATAARK!$C$3</f>
        <v>0</v>
      </c>
      <c r="N233" s="40">
        <f t="shared" si="6"/>
        <v>0</v>
      </c>
    </row>
    <row r="234" spans="1:14" x14ac:dyDescent="0.25">
      <c r="A234" s="22" t="s">
        <v>397</v>
      </c>
      <c r="B234" s="22" t="s">
        <v>398</v>
      </c>
      <c r="J234" s="102">
        <f>I234*DATAARK!$B$3</f>
        <v>0</v>
      </c>
      <c r="K234" s="102">
        <f>J234*DATAARK!$C$3</f>
        <v>0</v>
      </c>
      <c r="N234" s="40">
        <f t="shared" si="6"/>
        <v>0</v>
      </c>
    </row>
    <row r="235" spans="1:14" x14ac:dyDescent="0.25">
      <c r="A235" s="23" t="s">
        <v>399</v>
      </c>
      <c r="B235" s="23" t="s">
        <v>400</v>
      </c>
      <c r="C235" s="71"/>
      <c r="D235" s="71"/>
      <c r="E235" s="71"/>
      <c r="F235" s="71"/>
      <c r="G235" s="71"/>
      <c r="H235" s="71">
        <v>0</v>
      </c>
      <c r="I235" s="90">
        <f>SUM(I232:I234)</f>
        <v>0</v>
      </c>
      <c r="J235" s="104">
        <f>SUM(J232:J234)</f>
        <v>0</v>
      </c>
      <c r="K235" s="90">
        <f>SUM(K232:K234)</f>
        <v>0</v>
      </c>
      <c r="N235" s="40">
        <f t="shared" si="6"/>
        <v>0</v>
      </c>
    </row>
    <row r="236" spans="1:14" x14ac:dyDescent="0.25">
      <c r="A236" s="22" t="s">
        <v>12</v>
      </c>
      <c r="B236" s="22" t="s">
        <v>12</v>
      </c>
      <c r="N236" s="40">
        <f t="shared" si="6"/>
        <v>0</v>
      </c>
    </row>
    <row r="237" spans="1:14" ht="15.75" thickBot="1" x14ac:dyDescent="0.3">
      <c r="A237" s="24" t="s">
        <v>12</v>
      </c>
      <c r="B237" s="24" t="s">
        <v>46</v>
      </c>
      <c r="C237" s="72">
        <v>-1322399.23</v>
      </c>
      <c r="D237" s="72">
        <v>-1613595.82</v>
      </c>
      <c r="E237" s="72">
        <v>18.05</v>
      </c>
      <c r="F237" s="72">
        <v>81.95</v>
      </c>
      <c r="G237" s="72">
        <v>-291196.59000000003</v>
      </c>
      <c r="H237" s="72">
        <v>-1630282.3287868788</v>
      </c>
      <c r="I237" s="106">
        <f>I229+I235</f>
        <v>1914111.2062131194</v>
      </c>
      <c r="J237" s="105"/>
      <c r="K237" s="106"/>
      <c r="N237" s="40">
        <f t="shared" si="6"/>
        <v>0</v>
      </c>
    </row>
    <row r="238" spans="1:14" ht="15.75" thickTop="1" x14ac:dyDescent="0.25">
      <c r="A238" s="22" t="s">
        <v>12</v>
      </c>
      <c r="B238" s="22" t="s">
        <v>12</v>
      </c>
      <c r="N238" s="40">
        <f t="shared" si="6"/>
        <v>0</v>
      </c>
    </row>
    <row r="239" spans="1:14" x14ac:dyDescent="0.25">
      <c r="A239" s="22" t="s">
        <v>401</v>
      </c>
      <c r="B239" s="22" t="s">
        <v>402</v>
      </c>
      <c r="J239" s="102">
        <f>I239*DATAARK!$B$3</f>
        <v>0</v>
      </c>
      <c r="K239" s="102">
        <f>J239*DATAARK!$C$3</f>
        <v>0</v>
      </c>
      <c r="N239" s="40">
        <f t="shared" si="6"/>
        <v>0</v>
      </c>
    </row>
    <row r="240" spans="1:14" x14ac:dyDescent="0.25">
      <c r="A240" s="22" t="s">
        <v>403</v>
      </c>
      <c r="B240" s="22" t="s">
        <v>404</v>
      </c>
      <c r="J240" s="102">
        <f>I240*DATAARK!$B$3</f>
        <v>0</v>
      </c>
      <c r="K240" s="102">
        <f>J240*DATAARK!$C$3</f>
        <v>0</v>
      </c>
      <c r="N240" s="40">
        <f t="shared" si="6"/>
        <v>0</v>
      </c>
    </row>
    <row r="241" spans="1:14" x14ac:dyDescent="0.25">
      <c r="A241" s="22" t="s">
        <v>405</v>
      </c>
      <c r="B241" s="22" t="s">
        <v>406</v>
      </c>
      <c r="C241" s="70">
        <v>-246196.6</v>
      </c>
      <c r="D241" s="70">
        <v>-612819.68999999994</v>
      </c>
      <c r="E241" s="70">
        <v>59.83</v>
      </c>
      <c r="F241" s="70">
        <v>40.17</v>
      </c>
      <c r="G241" s="70">
        <v>-366623.09</v>
      </c>
      <c r="H241" s="70">
        <v>-460093.5</v>
      </c>
      <c r="I241" s="103">
        <v>-460093.5</v>
      </c>
      <c r="J241" s="102">
        <f>I241*DATAARK!$B$3</f>
        <v>-460093.5</v>
      </c>
      <c r="K241" s="102">
        <f>J241*DATAARK!$C$3-14000-5000-73000</f>
        <v>-552093.5</v>
      </c>
      <c r="N241" s="40">
        <f t="shared" si="6"/>
        <v>0</v>
      </c>
    </row>
    <row r="242" spans="1:14" x14ac:dyDescent="0.25">
      <c r="A242" s="22" t="s">
        <v>407</v>
      </c>
      <c r="B242" s="22" t="s">
        <v>408</v>
      </c>
      <c r="J242" s="102">
        <f>I242*DATAARK!$B$3</f>
        <v>0</v>
      </c>
      <c r="K242" s="102">
        <f>J242*DATAARK!$C$3</f>
        <v>0</v>
      </c>
      <c r="N242" s="40">
        <f t="shared" si="6"/>
        <v>0</v>
      </c>
    </row>
    <row r="243" spans="1:14" x14ac:dyDescent="0.25">
      <c r="A243" s="23" t="s">
        <v>409</v>
      </c>
      <c r="B243" s="23" t="s">
        <v>410</v>
      </c>
      <c r="C243" s="71">
        <v>-246196.6</v>
      </c>
      <c r="D243" s="71">
        <v>-612819.68999999994</v>
      </c>
      <c r="E243" s="71">
        <v>59.83</v>
      </c>
      <c r="F243" s="71">
        <v>40.17</v>
      </c>
      <c r="G243" s="71">
        <v>-366623.09</v>
      </c>
      <c r="H243" s="71">
        <v>-460093.5</v>
      </c>
      <c r="I243" s="90">
        <f>SUM(I239:I242)</f>
        <v>-460093.5</v>
      </c>
      <c r="J243" s="90">
        <f>SUM(J239:J242)</f>
        <v>-460093.5</v>
      </c>
      <c r="K243" s="90">
        <f>SUM(K239:K242)</f>
        <v>-552093.5</v>
      </c>
      <c r="N243" s="40">
        <f t="shared" si="6"/>
        <v>0</v>
      </c>
    </row>
    <row r="244" spans="1:14" x14ac:dyDescent="0.25">
      <c r="A244" s="22" t="s">
        <v>12</v>
      </c>
      <c r="B244" s="22" t="s">
        <v>12</v>
      </c>
      <c r="N244" s="40">
        <f t="shared" si="6"/>
        <v>0</v>
      </c>
    </row>
    <row r="245" spans="1:14" ht="15.75" thickBot="1" x14ac:dyDescent="0.3">
      <c r="A245" s="24" t="s">
        <v>411</v>
      </c>
      <c r="B245" s="24" t="s">
        <v>49</v>
      </c>
      <c r="C245" s="72">
        <v>-1568595.83</v>
      </c>
      <c r="D245" s="72">
        <v>-2226415.5099999998</v>
      </c>
      <c r="E245" s="72">
        <v>29.55</v>
      </c>
      <c r="F245" s="72">
        <v>70.45</v>
      </c>
      <c r="G245" s="72">
        <v>-657819.68000000005</v>
      </c>
      <c r="H245" s="72">
        <v>-2090375.8287868788</v>
      </c>
      <c r="I245" s="106">
        <f>+I237+I243</f>
        <v>1454017.7062131194</v>
      </c>
      <c r="J245" s="105">
        <f>J229+J235+J243</f>
        <v>1293978.2108450001</v>
      </c>
      <c r="K245" s="106">
        <f>K229+K235+K243</f>
        <v>1600489.2532029999</v>
      </c>
      <c r="N245" s="40">
        <f t="shared" si="6"/>
        <v>1</v>
      </c>
    </row>
    <row r="246" spans="1:14" ht="15.75" thickTop="1" x14ac:dyDescent="0.25"/>
    <row r="249" spans="1:14" x14ac:dyDescent="0.25">
      <c r="I249" s="103" t="s">
        <v>495</v>
      </c>
      <c r="K249" s="103">
        <f>700000/50</f>
        <v>14000</v>
      </c>
    </row>
    <row r="250" spans="1:14" x14ac:dyDescent="0.25">
      <c r="I250" s="103" t="s">
        <v>496</v>
      </c>
      <c r="K250" s="103">
        <f>250000/50</f>
        <v>5000</v>
      </c>
    </row>
    <row r="251" spans="1:14" x14ac:dyDescent="0.25">
      <c r="I251" s="103" t="s">
        <v>497</v>
      </c>
      <c r="K251" s="103">
        <f>365000/5</f>
        <v>73000</v>
      </c>
    </row>
  </sheetData>
  <conditionalFormatting sqref="N1:N1048576">
    <cfRule type="cellIs" dxfId="95" priority="48" operator="equal">
      <formula>1</formula>
    </cfRule>
  </conditionalFormatting>
  <conditionalFormatting sqref="N130:N136">
    <cfRule type="cellIs" dxfId="94" priority="47" operator="equal">
      <formula>2</formula>
    </cfRule>
  </conditionalFormatting>
  <conditionalFormatting sqref="N121">
    <cfRule type="cellIs" dxfId="93" priority="46" operator="equal">
      <formula>2</formula>
    </cfRule>
  </conditionalFormatting>
  <conditionalFormatting sqref="N120">
    <cfRule type="cellIs" dxfId="92" priority="45" operator="equal">
      <formula>2</formula>
    </cfRule>
  </conditionalFormatting>
  <conditionalFormatting sqref="N119">
    <cfRule type="cellIs" dxfId="91" priority="44" operator="equal">
      <formula>2</formula>
    </cfRule>
  </conditionalFormatting>
  <conditionalFormatting sqref="N118">
    <cfRule type="cellIs" dxfId="90" priority="43" operator="equal">
      <formula>2</formula>
    </cfRule>
  </conditionalFormatting>
  <conditionalFormatting sqref="N117">
    <cfRule type="cellIs" dxfId="89" priority="42" operator="equal">
      <formula>2</formula>
    </cfRule>
  </conditionalFormatting>
  <conditionalFormatting sqref="N116">
    <cfRule type="cellIs" dxfId="88" priority="41" operator="equal">
      <formula>2</formula>
    </cfRule>
  </conditionalFormatting>
  <conditionalFormatting sqref="N115">
    <cfRule type="cellIs" dxfId="87" priority="40" operator="equal">
      <formula>2</formula>
    </cfRule>
  </conditionalFormatting>
  <conditionalFormatting sqref="N116">
    <cfRule type="cellIs" dxfId="86" priority="39" operator="equal">
      <formula>2</formula>
    </cfRule>
  </conditionalFormatting>
  <conditionalFormatting sqref="N117">
    <cfRule type="cellIs" dxfId="85" priority="38" operator="equal">
      <formula>2</formula>
    </cfRule>
  </conditionalFormatting>
  <conditionalFormatting sqref="N118">
    <cfRule type="cellIs" dxfId="84" priority="37" operator="equal">
      <formula>2</formula>
    </cfRule>
  </conditionalFormatting>
  <conditionalFormatting sqref="N119">
    <cfRule type="cellIs" dxfId="83" priority="36" operator="equal">
      <formula>2</formula>
    </cfRule>
  </conditionalFormatting>
  <conditionalFormatting sqref="N120">
    <cfRule type="cellIs" dxfId="82" priority="35" operator="equal">
      <formula>2</formula>
    </cfRule>
  </conditionalFormatting>
  <conditionalFormatting sqref="N121">
    <cfRule type="cellIs" dxfId="81" priority="34" operator="equal">
      <formula>2</formula>
    </cfRule>
  </conditionalFormatting>
  <conditionalFormatting sqref="N116">
    <cfRule type="cellIs" dxfId="80" priority="33" operator="equal">
      <formula>2</formula>
    </cfRule>
  </conditionalFormatting>
  <conditionalFormatting sqref="N117">
    <cfRule type="cellIs" dxfId="79" priority="32" operator="equal">
      <formula>2</formula>
    </cfRule>
  </conditionalFormatting>
  <conditionalFormatting sqref="N118">
    <cfRule type="cellIs" dxfId="78" priority="31" operator="equal">
      <formula>2</formula>
    </cfRule>
  </conditionalFormatting>
  <conditionalFormatting sqref="N119">
    <cfRule type="cellIs" dxfId="77" priority="30" operator="equal">
      <formula>2</formula>
    </cfRule>
  </conditionalFormatting>
  <conditionalFormatting sqref="N120">
    <cfRule type="cellIs" dxfId="76" priority="29" operator="equal">
      <formula>2</formula>
    </cfRule>
  </conditionalFormatting>
  <conditionalFormatting sqref="N121">
    <cfRule type="cellIs" dxfId="75" priority="28" operator="equal">
      <formula>2</formula>
    </cfRule>
  </conditionalFormatting>
  <conditionalFormatting sqref="N130">
    <cfRule type="cellIs" dxfId="74" priority="27" operator="equal">
      <formula>2</formula>
    </cfRule>
  </conditionalFormatting>
  <conditionalFormatting sqref="N131">
    <cfRule type="cellIs" dxfId="73" priority="26" operator="equal">
      <formula>2</formula>
    </cfRule>
  </conditionalFormatting>
  <conditionalFormatting sqref="N132">
    <cfRule type="cellIs" dxfId="72" priority="25" operator="equal">
      <formula>2</formula>
    </cfRule>
  </conditionalFormatting>
  <conditionalFormatting sqref="N133">
    <cfRule type="cellIs" dxfId="71" priority="24" operator="equal">
      <formula>2</formula>
    </cfRule>
  </conditionalFormatting>
  <conditionalFormatting sqref="N134">
    <cfRule type="cellIs" dxfId="70" priority="23" operator="equal">
      <formula>2</formula>
    </cfRule>
  </conditionalFormatting>
  <conditionalFormatting sqref="N135">
    <cfRule type="cellIs" dxfId="69" priority="22" operator="equal">
      <formula>2</formula>
    </cfRule>
  </conditionalFormatting>
  <conditionalFormatting sqref="N136">
    <cfRule type="cellIs" dxfId="68" priority="21" operator="equal">
      <formula>2</formula>
    </cfRule>
  </conditionalFormatting>
  <conditionalFormatting sqref="N59">
    <cfRule type="cellIs" dxfId="67" priority="20" operator="equal">
      <formula>2</formula>
    </cfRule>
  </conditionalFormatting>
  <conditionalFormatting sqref="N58">
    <cfRule type="cellIs" dxfId="66" priority="19" operator="equal">
      <formula>2</formula>
    </cfRule>
  </conditionalFormatting>
  <conditionalFormatting sqref="N57">
    <cfRule type="cellIs" dxfId="65" priority="18" operator="equal">
      <formula>2</formula>
    </cfRule>
  </conditionalFormatting>
  <conditionalFormatting sqref="N56">
    <cfRule type="cellIs" dxfId="64" priority="17" operator="equal">
      <formula>2</formula>
    </cfRule>
  </conditionalFormatting>
  <conditionalFormatting sqref="N55">
    <cfRule type="cellIs" dxfId="63" priority="16" operator="equal">
      <formula>2</formula>
    </cfRule>
  </conditionalFormatting>
  <conditionalFormatting sqref="N54">
    <cfRule type="cellIs" dxfId="62" priority="15" operator="equal">
      <formula>2</formula>
    </cfRule>
  </conditionalFormatting>
  <conditionalFormatting sqref="N53">
    <cfRule type="cellIs" dxfId="61" priority="14" operator="equal">
      <formula>2</formula>
    </cfRule>
  </conditionalFormatting>
  <conditionalFormatting sqref="N52">
    <cfRule type="cellIs" dxfId="60" priority="13" operator="equal">
      <formula>2</formula>
    </cfRule>
  </conditionalFormatting>
  <conditionalFormatting sqref="N51">
    <cfRule type="cellIs" dxfId="59" priority="12" operator="equal">
      <formula>2</formula>
    </cfRule>
  </conditionalFormatting>
  <conditionalFormatting sqref="N50">
    <cfRule type="cellIs" dxfId="58" priority="11" operator="equal">
      <formula>2</formula>
    </cfRule>
  </conditionalFormatting>
  <conditionalFormatting sqref="N49">
    <cfRule type="cellIs" dxfId="57" priority="10" operator="equal">
      <formula>2</formula>
    </cfRule>
  </conditionalFormatting>
  <conditionalFormatting sqref="N48">
    <cfRule type="cellIs" dxfId="56" priority="9" operator="equal">
      <formula>2</formula>
    </cfRule>
  </conditionalFormatting>
  <conditionalFormatting sqref="N44">
    <cfRule type="cellIs" dxfId="55" priority="8" operator="equal">
      <formula>2</formula>
    </cfRule>
  </conditionalFormatting>
  <conditionalFormatting sqref="N45">
    <cfRule type="cellIs" dxfId="54" priority="7" operator="equal">
      <formula>2</formula>
    </cfRule>
  </conditionalFormatting>
  <conditionalFormatting sqref="N40">
    <cfRule type="cellIs" dxfId="53" priority="6" operator="equal">
      <formula>2</formula>
    </cfRule>
  </conditionalFormatting>
  <conditionalFormatting sqref="N41">
    <cfRule type="cellIs" dxfId="52" priority="5" operator="equal">
      <formula>2</formula>
    </cfRule>
  </conditionalFormatting>
  <conditionalFormatting sqref="N42">
    <cfRule type="cellIs" dxfId="51" priority="4" operator="equal">
      <formula>2</formula>
    </cfRule>
  </conditionalFormatting>
  <conditionalFormatting sqref="N43">
    <cfRule type="cellIs" dxfId="50" priority="3" operator="equal">
      <formula>2</formula>
    </cfRule>
  </conditionalFormatting>
  <conditionalFormatting sqref="N44">
    <cfRule type="cellIs" dxfId="49" priority="2" operator="equal">
      <formula>2</formula>
    </cfRule>
  </conditionalFormatting>
  <conditionalFormatting sqref="N62">
    <cfRule type="cellIs" dxfId="48" priority="1" operator="equal">
      <formula>2</formula>
    </cfRule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N246"/>
  <sheetViews>
    <sheetView topLeftCell="A75" workbookViewId="0">
      <selection activeCell="K90" sqref="K90"/>
    </sheetView>
  </sheetViews>
  <sheetFormatPr defaultRowHeight="15" x14ac:dyDescent="0.25"/>
  <cols>
    <col min="1" max="1" width="17.7109375" bestFit="1" customWidth="1"/>
    <col min="2" max="2" width="48.7109375" bestFit="1" customWidth="1"/>
    <col min="3" max="3" width="12.85546875" style="70" bestFit="1" customWidth="1"/>
    <col min="4" max="4" width="14" style="70" customWidth="1"/>
    <col min="5" max="5" width="10.28515625" style="70" hidden="1" customWidth="1"/>
    <col min="6" max="6" width="19.42578125" style="70" hidden="1" customWidth="1"/>
    <col min="7" max="7" width="12.85546875" style="70" hidden="1" customWidth="1"/>
    <col min="8" max="8" width="12.85546875" style="70" customWidth="1"/>
    <col min="9" max="9" width="13.28515625" style="103" bestFit="1" customWidth="1"/>
    <col min="10" max="10" width="19.42578125" style="102" bestFit="1" customWidth="1"/>
    <col min="11" max="11" width="18" style="103" bestFit="1" customWidth="1"/>
    <col min="14" max="14" width="9.140625" style="40"/>
  </cols>
  <sheetData>
    <row r="1" spans="1:11" x14ac:dyDescent="0.25">
      <c r="A1" s="16" t="s">
        <v>0</v>
      </c>
      <c r="B1" s="15"/>
      <c r="J1" s="103"/>
    </row>
    <row r="2" spans="1:11" x14ac:dyDescent="0.25">
      <c r="A2" s="17" t="s">
        <v>1</v>
      </c>
      <c r="B2" s="17" t="s">
        <v>2</v>
      </c>
      <c r="J2" s="103"/>
    </row>
    <row r="3" spans="1:11" x14ac:dyDescent="0.25">
      <c r="A3" s="17" t="s">
        <v>3</v>
      </c>
      <c r="B3" s="17" t="s">
        <v>4</v>
      </c>
      <c r="J3" s="103"/>
    </row>
    <row r="4" spans="1:11" x14ac:dyDescent="0.25">
      <c r="A4" s="17" t="s">
        <v>412</v>
      </c>
      <c r="B4" s="17" t="s">
        <v>415</v>
      </c>
      <c r="J4" s="103"/>
    </row>
    <row r="5" spans="1:11" x14ac:dyDescent="0.25">
      <c r="J5" s="103"/>
    </row>
    <row r="6" spans="1:11" x14ac:dyDescent="0.25">
      <c r="A6" s="17" t="s">
        <v>5</v>
      </c>
      <c r="B6" s="17" t="s">
        <v>6</v>
      </c>
      <c r="J6" s="103"/>
    </row>
    <row r="7" spans="1:11" x14ac:dyDescent="0.25">
      <c r="J7" s="103"/>
    </row>
    <row r="8" spans="1:11" ht="30" x14ac:dyDescent="0.25">
      <c r="A8" s="15"/>
      <c r="B8" s="15"/>
      <c r="C8" s="71" t="s">
        <v>7</v>
      </c>
      <c r="D8" s="71" t="s">
        <v>8</v>
      </c>
      <c r="E8" s="71" t="s">
        <v>9</v>
      </c>
      <c r="F8" s="71" t="s">
        <v>10</v>
      </c>
      <c r="G8" s="71" t="s">
        <v>11</v>
      </c>
      <c r="H8" s="68" t="s">
        <v>428</v>
      </c>
      <c r="I8" s="118" t="s">
        <v>486</v>
      </c>
      <c r="J8" s="96" t="s">
        <v>472</v>
      </c>
      <c r="K8" s="96" t="s">
        <v>473</v>
      </c>
    </row>
    <row r="9" spans="1:11" x14ac:dyDescent="0.25">
      <c r="A9" s="18" t="s">
        <v>12</v>
      </c>
      <c r="B9" s="18" t="s">
        <v>13</v>
      </c>
      <c r="C9" s="71" t="s">
        <v>478</v>
      </c>
      <c r="D9" s="86">
        <v>2021</v>
      </c>
      <c r="E9" s="86"/>
      <c r="F9" s="86"/>
      <c r="G9" s="86"/>
      <c r="H9" s="87">
        <v>2021</v>
      </c>
      <c r="I9" s="99">
        <v>2021</v>
      </c>
      <c r="J9" s="98">
        <v>2022</v>
      </c>
      <c r="K9" s="99">
        <v>2023</v>
      </c>
    </row>
    <row r="10" spans="1:11" x14ac:dyDescent="0.25">
      <c r="A10" s="17" t="s">
        <v>12</v>
      </c>
      <c r="B10" s="17" t="s">
        <v>12</v>
      </c>
      <c r="I10" s="119"/>
      <c r="J10" s="119"/>
      <c r="K10" s="119"/>
    </row>
    <row r="11" spans="1:11" x14ac:dyDescent="0.25">
      <c r="A11" s="17" t="s">
        <v>14</v>
      </c>
      <c r="B11" s="17" t="s">
        <v>15</v>
      </c>
      <c r="C11" s="70">
        <v>4816117.6100000003</v>
      </c>
      <c r="D11" s="70">
        <v>12254833.199999999</v>
      </c>
      <c r="E11" s="70">
        <v>60.7</v>
      </c>
      <c r="F11" s="70">
        <v>39.299999999999997</v>
      </c>
      <c r="G11" s="70">
        <v>7438715.5899999999</v>
      </c>
      <c r="H11" s="70">
        <v>10693325.965301402</v>
      </c>
      <c r="I11" s="119">
        <f>I46</f>
        <v>10693325.965301402</v>
      </c>
      <c r="J11" s="120">
        <f>J46</f>
        <v>10192368</v>
      </c>
      <c r="K11" s="119">
        <f>K46</f>
        <v>10192368</v>
      </c>
    </row>
    <row r="12" spans="1:11" x14ac:dyDescent="0.25">
      <c r="A12" s="17" t="s">
        <v>16</v>
      </c>
      <c r="B12" s="17" t="s">
        <v>17</v>
      </c>
      <c r="C12" s="70">
        <v>18475.2</v>
      </c>
      <c r="D12" s="70">
        <v>274161</v>
      </c>
      <c r="E12" s="70">
        <v>93.26</v>
      </c>
      <c r="F12" s="70">
        <v>6.74</v>
      </c>
      <c r="G12" s="70">
        <v>255685.8</v>
      </c>
      <c r="H12" s="70">
        <v>292096.2</v>
      </c>
      <c r="I12" s="119">
        <f>I59</f>
        <v>287661</v>
      </c>
      <c r="J12" s="120">
        <f>J59</f>
        <v>287661</v>
      </c>
      <c r="K12" s="119">
        <f>K59</f>
        <v>287661</v>
      </c>
    </row>
    <row r="13" spans="1:11" x14ac:dyDescent="0.25">
      <c r="A13" s="17" t="s">
        <v>18</v>
      </c>
      <c r="B13" s="17" t="s">
        <v>19</v>
      </c>
      <c r="C13" s="70">
        <v>75240.899999999994</v>
      </c>
      <c r="G13" s="70">
        <v>-75240.899999999994</v>
      </c>
      <c r="H13" s="70">
        <v>150481.79999999999</v>
      </c>
      <c r="I13" s="119">
        <f>I63</f>
        <v>150481.79999999999</v>
      </c>
      <c r="J13" s="120">
        <f>J63</f>
        <v>150481.79999999999</v>
      </c>
      <c r="K13" s="119">
        <f>K63</f>
        <v>150481.79999999999</v>
      </c>
    </row>
    <row r="14" spans="1:11" x14ac:dyDescent="0.25">
      <c r="A14" s="18" t="s">
        <v>20</v>
      </c>
      <c r="B14" s="18" t="s">
        <v>21</v>
      </c>
      <c r="C14" s="71">
        <v>4909833.71</v>
      </c>
      <c r="D14" s="71">
        <v>12528994.199999999</v>
      </c>
      <c r="E14" s="71">
        <v>60.81</v>
      </c>
      <c r="F14" s="71">
        <v>39.19</v>
      </c>
      <c r="G14" s="71">
        <v>7619160.4900000002</v>
      </c>
      <c r="H14" s="71">
        <v>11135903.965301402</v>
      </c>
      <c r="I14" s="96">
        <f>SUM(I11:I13)</f>
        <v>11131468.765301403</v>
      </c>
      <c r="J14" s="121">
        <f>SUM(J11:J13)</f>
        <v>10630510.800000001</v>
      </c>
      <c r="K14" s="96">
        <f>SUM(K11:K13)</f>
        <v>10630510.800000001</v>
      </c>
    </row>
    <row r="15" spans="1:11" x14ac:dyDescent="0.25">
      <c r="A15" s="17" t="s">
        <v>12</v>
      </c>
      <c r="B15" s="17" t="s">
        <v>12</v>
      </c>
      <c r="I15" s="119"/>
      <c r="J15" s="119"/>
      <c r="K15" s="119"/>
    </row>
    <row r="16" spans="1:11" x14ac:dyDescent="0.25">
      <c r="A16" s="18" t="s">
        <v>12</v>
      </c>
      <c r="B16" s="18" t="s">
        <v>22</v>
      </c>
      <c r="C16" s="71"/>
      <c r="D16" s="71"/>
      <c r="E16" s="71"/>
      <c r="F16" s="71"/>
      <c r="G16" s="71"/>
      <c r="H16" s="71"/>
      <c r="I16" s="96"/>
      <c r="J16" s="121"/>
      <c r="K16" s="96"/>
    </row>
    <row r="17" spans="1:11" x14ac:dyDescent="0.25">
      <c r="A17" s="17" t="s">
        <v>23</v>
      </c>
      <c r="B17" s="17" t="s">
        <v>24</v>
      </c>
      <c r="I17" s="119"/>
      <c r="J17" s="120"/>
      <c r="K17" s="119"/>
    </row>
    <row r="18" spans="1:11" x14ac:dyDescent="0.25">
      <c r="A18" s="17" t="s">
        <v>25</v>
      </c>
      <c r="B18" s="17" t="s">
        <v>26</v>
      </c>
      <c r="C18" s="70">
        <v>-80925</v>
      </c>
      <c r="D18" s="70">
        <v>-183260</v>
      </c>
      <c r="E18" s="70">
        <v>55.84</v>
      </c>
      <c r="F18" s="70">
        <v>44.16</v>
      </c>
      <c r="G18" s="70">
        <v>-102335</v>
      </c>
      <c r="H18" s="70">
        <v>-183260</v>
      </c>
      <c r="I18" s="119">
        <f>I77</f>
        <v>-183260</v>
      </c>
      <c r="J18" s="120">
        <f>J77</f>
        <v>-183260</v>
      </c>
      <c r="K18" s="119">
        <f>K77</f>
        <v>-183260</v>
      </c>
    </row>
    <row r="19" spans="1:11" x14ac:dyDescent="0.25">
      <c r="A19" s="17" t="s">
        <v>27</v>
      </c>
      <c r="B19" s="17" t="s">
        <v>28</v>
      </c>
      <c r="I19" s="119"/>
      <c r="J19" s="120"/>
      <c r="K19" s="119"/>
    </row>
    <row r="20" spans="1:11" x14ac:dyDescent="0.25">
      <c r="A20" s="17" t="s">
        <v>12</v>
      </c>
      <c r="B20" s="17" t="s">
        <v>12</v>
      </c>
      <c r="I20" s="119"/>
      <c r="J20" s="120"/>
      <c r="K20" s="119"/>
    </row>
    <row r="21" spans="1:11" x14ac:dyDescent="0.25">
      <c r="A21" s="17" t="s">
        <v>29</v>
      </c>
      <c r="B21" s="17" t="s">
        <v>30</v>
      </c>
      <c r="C21" s="70">
        <v>-5134582.7300000004</v>
      </c>
      <c r="D21" s="70">
        <v>-10326920.41</v>
      </c>
      <c r="E21" s="70">
        <v>50.28</v>
      </c>
      <c r="F21" s="70">
        <v>49.72</v>
      </c>
      <c r="G21" s="70">
        <v>-5192337.68</v>
      </c>
      <c r="H21" s="70">
        <v>-9402644.9499999993</v>
      </c>
      <c r="I21" s="119">
        <f>I123</f>
        <v>-7095923.3499999996</v>
      </c>
      <c r="J21" s="120">
        <f>J123</f>
        <v>-7095923.3499999996</v>
      </c>
      <c r="K21" s="119">
        <f>K123</f>
        <v>-4461347.95</v>
      </c>
    </row>
    <row r="22" spans="1:11" x14ac:dyDescent="0.25">
      <c r="A22" s="18" t="s">
        <v>31</v>
      </c>
      <c r="B22" s="18" t="s">
        <v>32</v>
      </c>
      <c r="C22" s="71">
        <v>-5215507.7300000004</v>
      </c>
      <c r="D22" s="71">
        <v>-10510180.41</v>
      </c>
      <c r="E22" s="71">
        <v>50.38</v>
      </c>
      <c r="F22" s="71">
        <v>49.62</v>
      </c>
      <c r="G22" s="71">
        <v>-5294672.68</v>
      </c>
      <c r="H22" s="71">
        <v>-9402644.9499999993</v>
      </c>
      <c r="I22" s="96">
        <f>I21</f>
        <v>-7095923.3499999996</v>
      </c>
      <c r="J22" s="121">
        <f>J21</f>
        <v>-7095923.3499999996</v>
      </c>
      <c r="K22" s="96">
        <f>K21</f>
        <v>-4461347.95</v>
      </c>
    </row>
    <row r="23" spans="1:11" x14ac:dyDescent="0.25">
      <c r="A23" s="17" t="s">
        <v>12</v>
      </c>
      <c r="B23" s="17" t="s">
        <v>12</v>
      </c>
      <c r="I23" s="119"/>
      <c r="J23" s="120"/>
      <c r="K23" s="119"/>
    </row>
    <row r="24" spans="1:11" x14ac:dyDescent="0.25">
      <c r="A24" s="17" t="s">
        <v>33</v>
      </c>
      <c r="B24" s="17" t="s">
        <v>34</v>
      </c>
      <c r="C24" s="70">
        <v>13623.83</v>
      </c>
      <c r="D24" s="70">
        <v>102704</v>
      </c>
      <c r="E24" s="70">
        <v>86.73</v>
      </c>
      <c r="F24" s="70">
        <v>13.27</v>
      </c>
      <c r="G24" s="70">
        <v>89080.17</v>
      </c>
      <c r="H24" s="70">
        <v>105547.83</v>
      </c>
      <c r="I24" s="119">
        <f>I136</f>
        <v>102704</v>
      </c>
      <c r="J24" s="120">
        <f>J136</f>
        <v>102704</v>
      </c>
      <c r="K24" s="119">
        <f>K136</f>
        <v>102704</v>
      </c>
    </row>
    <row r="25" spans="1:11" x14ac:dyDescent="0.25">
      <c r="A25" s="17" t="s">
        <v>35</v>
      </c>
      <c r="B25" s="17" t="s">
        <v>36</v>
      </c>
      <c r="C25" s="70">
        <v>-1455443.2</v>
      </c>
      <c r="D25" s="70">
        <v>-3166056.04</v>
      </c>
      <c r="E25" s="70">
        <v>54.03</v>
      </c>
      <c r="F25" s="70">
        <v>45.97</v>
      </c>
      <c r="G25" s="70">
        <v>-1710612.84</v>
      </c>
      <c r="H25" s="70">
        <v>-3896119.6721999999</v>
      </c>
      <c r="I25" s="119">
        <f>I198</f>
        <v>-2351026.9292000001</v>
      </c>
      <c r="J25" s="120">
        <f>J198</f>
        <v>-3083517.4198500002</v>
      </c>
      <c r="K25" s="119">
        <f>K198</f>
        <v>-2739694.92239</v>
      </c>
    </row>
    <row r="26" spans="1:11" x14ac:dyDescent="0.25">
      <c r="A26" s="17" t="s">
        <v>37</v>
      </c>
      <c r="B26" s="17" t="s">
        <v>38</v>
      </c>
      <c r="H26" s="70">
        <v>0</v>
      </c>
      <c r="I26" s="119">
        <f>I209</f>
        <v>0</v>
      </c>
      <c r="J26" s="120">
        <f>J209</f>
        <v>0</v>
      </c>
      <c r="K26" s="119">
        <f>K209</f>
        <v>0</v>
      </c>
    </row>
    <row r="27" spans="1:11" x14ac:dyDescent="0.25">
      <c r="A27" s="17" t="s">
        <v>39</v>
      </c>
      <c r="B27" s="17" t="s">
        <v>40</v>
      </c>
      <c r="C27" s="70">
        <v>-114115.42</v>
      </c>
      <c r="D27" s="70">
        <v>-261000</v>
      </c>
      <c r="E27" s="70">
        <v>56.28</v>
      </c>
      <c r="F27" s="70">
        <v>43.72</v>
      </c>
      <c r="G27" s="70">
        <v>-146884.57999999999</v>
      </c>
      <c r="H27" s="70">
        <v>-250916.03</v>
      </c>
      <c r="I27" s="119">
        <f>I219</f>
        <v>-250000</v>
      </c>
      <c r="J27" s="120">
        <f>J219</f>
        <v>-250000</v>
      </c>
      <c r="K27" s="119">
        <f>K219</f>
        <v>-250000</v>
      </c>
    </row>
    <row r="28" spans="1:11" x14ac:dyDescent="0.25">
      <c r="A28" s="17" t="s">
        <v>41</v>
      </c>
      <c r="B28" s="17" t="s">
        <v>42</v>
      </c>
      <c r="H28" s="70">
        <v>0</v>
      </c>
      <c r="I28" s="119">
        <f>I223</f>
        <v>0</v>
      </c>
      <c r="J28" s="120">
        <f>J223</f>
        <v>0</v>
      </c>
      <c r="K28" s="119">
        <f>K223</f>
        <v>0</v>
      </c>
    </row>
    <row r="29" spans="1:11" x14ac:dyDescent="0.25">
      <c r="A29" s="17" t="s">
        <v>43</v>
      </c>
      <c r="B29" s="17" t="s">
        <v>44</v>
      </c>
      <c r="H29" s="70">
        <v>0</v>
      </c>
      <c r="I29" s="119">
        <f>I227</f>
        <v>0</v>
      </c>
      <c r="J29" s="120">
        <f>J227</f>
        <v>0</v>
      </c>
      <c r="K29" s="119">
        <f>K227</f>
        <v>0</v>
      </c>
    </row>
    <row r="30" spans="1:11" x14ac:dyDescent="0.25">
      <c r="A30" s="17" t="s">
        <v>12</v>
      </c>
      <c r="B30" s="17" t="s">
        <v>12</v>
      </c>
      <c r="I30" s="119"/>
      <c r="J30" s="120"/>
      <c r="K30" s="119"/>
    </row>
    <row r="31" spans="1:11" ht="15.75" thickBot="1" x14ac:dyDescent="0.3">
      <c r="A31" s="19" t="s">
        <v>45</v>
      </c>
      <c r="B31" s="19" t="s">
        <v>46</v>
      </c>
      <c r="C31" s="72">
        <v>-1861608.81</v>
      </c>
      <c r="D31" s="72">
        <v>-1305538.25</v>
      </c>
      <c r="E31" s="72">
        <v>-42.59</v>
      </c>
      <c r="F31" s="72">
        <v>142.59</v>
      </c>
      <c r="G31" s="72">
        <v>556070.56000000006</v>
      </c>
      <c r="H31" s="72">
        <v>-2491488.856898597</v>
      </c>
      <c r="I31" s="122">
        <f>I14+I18+I22+I24+I25+I26+I27</f>
        <v>1353962.4861014029</v>
      </c>
      <c r="J31" s="123">
        <f>J14+J18+J22+J24+J25+J26+J27</f>
        <v>120514.03015000094</v>
      </c>
      <c r="K31" s="122">
        <f>K14+K18+K22+K24+K25+K26+K27</f>
        <v>3098911.9276100006</v>
      </c>
    </row>
    <row r="32" spans="1:11" ht="15.75" thickTop="1" x14ac:dyDescent="0.25">
      <c r="A32" s="17" t="s">
        <v>12</v>
      </c>
      <c r="B32" s="17" t="s">
        <v>12</v>
      </c>
      <c r="I32" s="119"/>
      <c r="J32" s="120"/>
      <c r="K32" s="119"/>
    </row>
    <row r="33" spans="1:14" x14ac:dyDescent="0.25">
      <c r="A33" s="17" t="s">
        <v>47</v>
      </c>
      <c r="B33" s="17" t="s">
        <v>48</v>
      </c>
      <c r="C33" s="70">
        <v>-376186.99</v>
      </c>
      <c r="D33" s="70">
        <v>-747623.86</v>
      </c>
      <c r="E33" s="70">
        <v>49.68</v>
      </c>
      <c r="F33" s="70">
        <v>50.32</v>
      </c>
      <c r="G33" s="70">
        <v>-371436.87</v>
      </c>
      <c r="H33" s="70">
        <v>-924232.57</v>
      </c>
      <c r="I33" s="119">
        <f>I243</f>
        <v>-924232.57</v>
      </c>
      <c r="J33" s="120">
        <f>J243</f>
        <v>-924232.57</v>
      </c>
      <c r="K33" s="119">
        <f>K243</f>
        <v>-924232.57</v>
      </c>
    </row>
    <row r="34" spans="1:14" x14ac:dyDescent="0.25">
      <c r="A34" s="17" t="s">
        <v>12</v>
      </c>
      <c r="B34" s="17" t="s">
        <v>12</v>
      </c>
      <c r="I34" s="119"/>
      <c r="J34" s="120"/>
      <c r="K34" s="119"/>
    </row>
    <row r="35" spans="1:14" ht="15.75" thickBot="1" x14ac:dyDescent="0.3">
      <c r="A35" s="19" t="s">
        <v>12</v>
      </c>
      <c r="B35" s="19" t="s">
        <v>49</v>
      </c>
      <c r="C35" s="72">
        <v>-2237795.7999999998</v>
      </c>
      <c r="D35" s="72">
        <v>-2053162.11</v>
      </c>
      <c r="E35" s="72">
        <v>-8.99</v>
      </c>
      <c r="F35" s="72">
        <v>108.99</v>
      </c>
      <c r="G35" s="72">
        <v>184633.69</v>
      </c>
      <c r="H35" s="72">
        <v>-3415721.4268985968</v>
      </c>
      <c r="I35" s="122">
        <f>I31+I33</f>
        <v>429729.91610140295</v>
      </c>
      <c r="J35" s="123">
        <f>J31+J33</f>
        <v>-803718.53984999901</v>
      </c>
      <c r="K35" s="122">
        <f>K31+K33</f>
        <v>2174679.3576100008</v>
      </c>
    </row>
    <row r="36" spans="1:14" ht="15.75" thickTop="1" x14ac:dyDescent="0.25">
      <c r="A36" s="17" t="s">
        <v>12</v>
      </c>
      <c r="B36" s="17" t="s">
        <v>12</v>
      </c>
    </row>
    <row r="37" spans="1:14" x14ac:dyDescent="0.25">
      <c r="A37" s="18" t="s">
        <v>12</v>
      </c>
      <c r="B37" s="18" t="s">
        <v>50</v>
      </c>
      <c r="C37" s="71"/>
      <c r="D37" s="71"/>
      <c r="E37" s="71"/>
      <c r="F37" s="71"/>
      <c r="G37" s="71"/>
      <c r="H37" s="71"/>
      <c r="I37" s="90"/>
      <c r="J37" s="104"/>
      <c r="K37" s="90"/>
    </row>
    <row r="38" spans="1:14" x14ac:dyDescent="0.25">
      <c r="A38" s="17" t="s">
        <v>12</v>
      </c>
      <c r="B38" s="17" t="s">
        <v>12</v>
      </c>
    </row>
    <row r="39" spans="1:14" x14ac:dyDescent="0.25">
      <c r="A39" s="18" t="s">
        <v>51</v>
      </c>
      <c r="B39" s="18" t="s">
        <v>52</v>
      </c>
      <c r="C39" s="71"/>
      <c r="D39" s="71"/>
      <c r="E39" s="71"/>
      <c r="F39" s="71"/>
      <c r="G39" s="71"/>
      <c r="H39" s="71"/>
      <c r="I39" s="90"/>
      <c r="J39" s="104"/>
      <c r="K39" s="90"/>
    </row>
    <row r="40" spans="1:14" x14ac:dyDescent="0.25">
      <c r="A40" s="17" t="s">
        <v>53</v>
      </c>
      <c r="B40" s="17" t="s">
        <v>54</v>
      </c>
      <c r="C40" s="70">
        <v>3752470.65</v>
      </c>
      <c r="D40" s="70">
        <v>9816243.1999999993</v>
      </c>
      <c r="E40" s="70">
        <v>61.77</v>
      </c>
      <c r="F40" s="70">
        <v>38.229999999999997</v>
      </c>
      <c r="G40" s="70">
        <v>6063772.5499999998</v>
      </c>
      <c r="H40" s="70">
        <v>8572587.8803404458</v>
      </c>
      <c r="I40" s="89">
        <f>DATAARK!E29</f>
        <v>8572587.8803404458</v>
      </c>
      <c r="J40" s="107">
        <f>DATAARK!G8</f>
        <v>7960012</v>
      </c>
      <c r="K40" s="107">
        <f>DATAARK!G9</f>
        <v>7960012</v>
      </c>
      <c r="N40" s="40">
        <f t="shared" ref="N40:N45" si="0">IF(J40&gt;0,0,2)</f>
        <v>0</v>
      </c>
    </row>
    <row r="41" spans="1:14" x14ac:dyDescent="0.25">
      <c r="A41" s="17" t="s">
        <v>55</v>
      </c>
      <c r="B41" s="17" t="s">
        <v>56</v>
      </c>
      <c r="C41" s="70">
        <v>7877.38</v>
      </c>
      <c r="D41" s="70">
        <v>540940</v>
      </c>
      <c r="E41" s="70">
        <v>98.54</v>
      </c>
      <c r="F41" s="70">
        <v>1.46</v>
      </c>
      <c r="G41" s="70">
        <v>533062.62</v>
      </c>
      <c r="H41" s="70">
        <v>199457.34496095532</v>
      </c>
      <c r="I41" s="89">
        <f>DATAARK!E43</f>
        <v>199457.34496095532</v>
      </c>
      <c r="J41" s="107">
        <f>DATAARK!G14</f>
        <v>470936</v>
      </c>
      <c r="K41" s="107">
        <f>DATAARK!G15</f>
        <v>470936</v>
      </c>
      <c r="N41" s="40">
        <f t="shared" si="0"/>
        <v>0</v>
      </c>
    </row>
    <row r="42" spans="1:14" x14ac:dyDescent="0.25">
      <c r="A42" s="17" t="s">
        <v>57</v>
      </c>
      <c r="B42" s="17" t="s">
        <v>58</v>
      </c>
      <c r="C42" s="70">
        <v>13951.38</v>
      </c>
      <c r="G42" s="70">
        <v>-13951.38</v>
      </c>
      <c r="I42" s="89"/>
      <c r="N42" s="40">
        <f t="shared" si="0"/>
        <v>2</v>
      </c>
    </row>
    <row r="43" spans="1:14" x14ac:dyDescent="0.25">
      <c r="A43" s="17" t="s">
        <v>59</v>
      </c>
      <c r="B43" s="17" t="s">
        <v>60</v>
      </c>
      <c r="C43" s="70">
        <v>1247.46</v>
      </c>
      <c r="G43" s="70">
        <v>-1247.46</v>
      </c>
      <c r="I43" s="89"/>
      <c r="N43" s="40">
        <f t="shared" si="0"/>
        <v>2</v>
      </c>
    </row>
    <row r="44" spans="1:14" x14ac:dyDescent="0.25">
      <c r="A44" s="17" t="s">
        <v>61</v>
      </c>
      <c r="B44" s="17" t="s">
        <v>62</v>
      </c>
      <c r="C44" s="70">
        <v>880710</v>
      </c>
      <c r="D44" s="70">
        <v>1761420</v>
      </c>
      <c r="E44" s="70">
        <v>50</v>
      </c>
      <c r="F44" s="70">
        <v>50</v>
      </c>
      <c r="G44" s="70">
        <v>880710</v>
      </c>
      <c r="H44" s="70">
        <v>1761420</v>
      </c>
      <c r="I44" s="89">
        <v>1761420</v>
      </c>
      <c r="J44" s="108">
        <f>DATAARK!G10</f>
        <v>1761420</v>
      </c>
      <c r="K44" s="109">
        <f>DATAARK!G11</f>
        <v>1761420</v>
      </c>
      <c r="N44" s="40">
        <f t="shared" si="0"/>
        <v>0</v>
      </c>
    </row>
    <row r="45" spans="1:14" x14ac:dyDescent="0.25">
      <c r="A45" s="17" t="s">
        <v>63</v>
      </c>
      <c r="B45" s="17" t="s">
        <v>64</v>
      </c>
      <c r="C45" s="70">
        <v>159860.74</v>
      </c>
      <c r="D45" s="70">
        <v>136230</v>
      </c>
      <c r="E45" s="70">
        <v>-17.350000000000001</v>
      </c>
      <c r="F45" s="70">
        <v>117.35</v>
      </c>
      <c r="G45" s="70">
        <v>-23630.74</v>
      </c>
      <c r="H45" s="70">
        <v>159860.74</v>
      </c>
      <c r="I45" s="89">
        <f>C45</f>
        <v>159860.74</v>
      </c>
      <c r="J45" s="108">
        <f>DATAARK!G12</f>
        <v>0</v>
      </c>
      <c r="K45" s="109">
        <f>DATAARK!G13</f>
        <v>0</v>
      </c>
      <c r="N45" s="40">
        <f t="shared" si="0"/>
        <v>2</v>
      </c>
    </row>
    <row r="46" spans="1:14" x14ac:dyDescent="0.25">
      <c r="A46" s="18" t="s">
        <v>65</v>
      </c>
      <c r="B46" s="18" t="s">
        <v>66</v>
      </c>
      <c r="C46" s="71">
        <v>4816117.6100000003</v>
      </c>
      <c r="D46" s="71">
        <v>12254833.199999999</v>
      </c>
      <c r="E46" s="71">
        <v>60.7</v>
      </c>
      <c r="F46" s="71">
        <v>39.299999999999997</v>
      </c>
      <c r="G46" s="71">
        <v>7438715.5899999999</v>
      </c>
      <c r="H46" s="71">
        <v>10693325.965301402</v>
      </c>
      <c r="I46" s="90">
        <f>SUM(I40:I45)</f>
        <v>10693325.965301402</v>
      </c>
      <c r="J46" s="104">
        <f>SUM(J40:J45)</f>
        <v>10192368</v>
      </c>
      <c r="K46" s="90">
        <f>SUM(K40:K45)</f>
        <v>10192368</v>
      </c>
    </row>
    <row r="47" spans="1:14" x14ac:dyDescent="0.25">
      <c r="A47" s="17" t="s">
        <v>12</v>
      </c>
      <c r="B47" s="17" t="s">
        <v>12</v>
      </c>
    </row>
    <row r="48" spans="1:14" x14ac:dyDescent="0.25">
      <c r="A48" s="18" t="s">
        <v>67</v>
      </c>
      <c r="B48" s="18" t="s">
        <v>68</v>
      </c>
      <c r="C48" s="71"/>
      <c r="D48" s="71"/>
      <c r="E48" s="71"/>
      <c r="F48" s="71"/>
      <c r="G48" s="71"/>
      <c r="H48" s="71"/>
      <c r="I48" s="90"/>
      <c r="J48" s="104"/>
      <c r="K48" s="90"/>
    </row>
    <row r="49" spans="1:14" x14ac:dyDescent="0.25">
      <c r="A49" s="17" t="s">
        <v>69</v>
      </c>
      <c r="B49" s="17" t="s">
        <v>70</v>
      </c>
      <c r="J49" s="102">
        <f>I49*DATAARK!$B$3</f>
        <v>0</v>
      </c>
      <c r="K49" s="102">
        <f>J49*DATAARK!$C$3</f>
        <v>0</v>
      </c>
      <c r="N49" s="40">
        <f t="shared" ref="N49:N58" si="1">IF(J49&gt;0,0,2)</f>
        <v>2</v>
      </c>
    </row>
    <row r="50" spans="1:14" x14ac:dyDescent="0.25">
      <c r="A50" s="17" t="s">
        <v>71</v>
      </c>
      <c r="B50" s="17" t="s">
        <v>72</v>
      </c>
      <c r="C50" s="70">
        <v>4435.2</v>
      </c>
      <c r="G50" s="70">
        <v>-4435.2</v>
      </c>
      <c r="H50" s="70">
        <v>4435.2</v>
      </c>
      <c r="J50" s="102">
        <f>I50*DATAARK!$B$3</f>
        <v>0</v>
      </c>
      <c r="K50" s="102">
        <f>J50*DATAARK!$C$3</f>
        <v>0</v>
      </c>
      <c r="N50" s="40">
        <f t="shared" si="1"/>
        <v>2</v>
      </c>
    </row>
    <row r="51" spans="1:14" x14ac:dyDescent="0.25">
      <c r="A51" s="17" t="s">
        <v>73</v>
      </c>
      <c r="B51" s="17" t="s">
        <v>74</v>
      </c>
      <c r="J51" s="102">
        <f>I51*DATAARK!$B$3</f>
        <v>0</v>
      </c>
      <c r="K51" s="102">
        <f>J51*DATAARK!$C$3</f>
        <v>0</v>
      </c>
      <c r="N51" s="40">
        <f t="shared" si="1"/>
        <v>2</v>
      </c>
    </row>
    <row r="52" spans="1:14" x14ac:dyDescent="0.25">
      <c r="A52" s="17" t="s">
        <v>75</v>
      </c>
      <c r="B52" s="17" t="s">
        <v>76</v>
      </c>
      <c r="J52" s="102">
        <f>I52*DATAARK!$B$3</f>
        <v>0</v>
      </c>
      <c r="K52" s="102">
        <f>J52*DATAARK!$C$3</f>
        <v>0</v>
      </c>
      <c r="N52" s="40">
        <f t="shared" si="1"/>
        <v>2</v>
      </c>
    </row>
    <row r="53" spans="1:14" x14ac:dyDescent="0.25">
      <c r="A53" s="17" t="s">
        <v>77</v>
      </c>
      <c r="B53" s="17" t="s">
        <v>78</v>
      </c>
      <c r="J53" s="102">
        <f>I53*DATAARK!$B$3</f>
        <v>0</v>
      </c>
      <c r="K53" s="102">
        <f>J53*DATAARK!$C$3</f>
        <v>0</v>
      </c>
      <c r="N53" s="40">
        <f t="shared" si="1"/>
        <v>2</v>
      </c>
    </row>
    <row r="54" spans="1:14" x14ac:dyDescent="0.25">
      <c r="A54" s="17" t="s">
        <v>79</v>
      </c>
      <c r="B54" s="17" t="s">
        <v>80</v>
      </c>
      <c r="C54" s="70">
        <v>13500</v>
      </c>
      <c r="G54" s="70">
        <v>-13500</v>
      </c>
      <c r="H54" s="70">
        <v>13500</v>
      </c>
      <c r="I54" s="103">
        <f>C54</f>
        <v>13500</v>
      </c>
      <c r="J54" s="102">
        <f>I54*DATAARK!$B$3</f>
        <v>13500</v>
      </c>
      <c r="K54" s="102">
        <f>J54*DATAARK!$C$3</f>
        <v>13500</v>
      </c>
      <c r="N54" s="40">
        <f t="shared" si="1"/>
        <v>0</v>
      </c>
    </row>
    <row r="55" spans="1:14" x14ac:dyDescent="0.25">
      <c r="A55" s="17" t="s">
        <v>81</v>
      </c>
      <c r="B55" s="17" t="s">
        <v>82</v>
      </c>
      <c r="J55" s="102">
        <f>I55*DATAARK!$B$3</f>
        <v>0</v>
      </c>
      <c r="K55" s="102">
        <f>J55*DATAARK!$C$3</f>
        <v>0</v>
      </c>
      <c r="N55" s="40">
        <f t="shared" si="1"/>
        <v>2</v>
      </c>
    </row>
    <row r="56" spans="1:14" x14ac:dyDescent="0.25">
      <c r="A56" s="17" t="s">
        <v>83</v>
      </c>
      <c r="B56" s="17" t="s">
        <v>84</v>
      </c>
      <c r="C56" s="70">
        <v>540</v>
      </c>
      <c r="D56" s="70">
        <v>195321</v>
      </c>
      <c r="E56" s="70">
        <v>99.72</v>
      </c>
      <c r="F56" s="70">
        <v>0.28000000000000003</v>
      </c>
      <c r="G56" s="70">
        <v>194781</v>
      </c>
      <c r="H56" s="70">
        <v>195321</v>
      </c>
      <c r="I56" s="103">
        <v>195321</v>
      </c>
      <c r="J56" s="102">
        <f>I56*DATAARK!$B$3</f>
        <v>195321</v>
      </c>
      <c r="K56" s="102">
        <f>J56*DATAARK!$C$3</f>
        <v>195321</v>
      </c>
      <c r="N56" s="40">
        <f t="shared" si="1"/>
        <v>0</v>
      </c>
    </row>
    <row r="57" spans="1:14" x14ac:dyDescent="0.25">
      <c r="A57" s="17" t="s">
        <v>85</v>
      </c>
      <c r="B57" s="17" t="s">
        <v>86</v>
      </c>
      <c r="J57" s="102">
        <f>I57*DATAARK!$B$3</f>
        <v>0</v>
      </c>
      <c r="K57" s="102">
        <f>J57*DATAARK!$C$3</f>
        <v>0</v>
      </c>
      <c r="N57" s="40">
        <f t="shared" si="1"/>
        <v>2</v>
      </c>
    </row>
    <row r="58" spans="1:14" x14ac:dyDescent="0.25">
      <c r="A58" s="17" t="s">
        <v>87</v>
      </c>
      <c r="B58" s="17" t="s">
        <v>88</v>
      </c>
      <c r="D58" s="70">
        <v>78840</v>
      </c>
      <c r="E58" s="70">
        <v>100</v>
      </c>
      <c r="G58" s="70">
        <v>78840</v>
      </c>
      <c r="H58" s="70">
        <v>78840</v>
      </c>
      <c r="I58" s="103">
        <v>78840</v>
      </c>
      <c r="J58" s="102">
        <f>I58*DATAARK!$B$3</f>
        <v>78840</v>
      </c>
      <c r="K58" s="102">
        <f>J58*DATAARK!$C$3</f>
        <v>78840</v>
      </c>
      <c r="N58" s="40">
        <f t="shared" si="1"/>
        <v>0</v>
      </c>
    </row>
    <row r="59" spans="1:14" x14ac:dyDescent="0.25">
      <c r="A59" s="18" t="s">
        <v>89</v>
      </c>
      <c r="B59" s="18" t="s">
        <v>17</v>
      </c>
      <c r="C59" s="71">
        <v>18475.2</v>
      </c>
      <c r="D59" s="71">
        <v>274161</v>
      </c>
      <c r="E59" s="71">
        <v>93.26</v>
      </c>
      <c r="F59" s="71">
        <v>6.74</v>
      </c>
      <c r="G59" s="71">
        <v>255685.8</v>
      </c>
      <c r="H59" s="71">
        <v>292096.2</v>
      </c>
      <c r="I59" s="90">
        <f>SUM(I49:I58)</f>
        <v>287661</v>
      </c>
      <c r="J59" s="90">
        <f>SUM(J49:J58)</f>
        <v>287661</v>
      </c>
      <c r="K59" s="90">
        <f>SUM(K49:K58)</f>
        <v>287661</v>
      </c>
    </row>
    <row r="60" spans="1:14" x14ac:dyDescent="0.25">
      <c r="A60" s="17" t="s">
        <v>12</v>
      </c>
      <c r="B60" s="17" t="s">
        <v>12</v>
      </c>
      <c r="J60" s="102">
        <v>0</v>
      </c>
    </row>
    <row r="61" spans="1:14" x14ac:dyDescent="0.25">
      <c r="A61" s="18" t="s">
        <v>90</v>
      </c>
      <c r="B61" s="18" t="s">
        <v>91</v>
      </c>
      <c r="C61" s="71"/>
      <c r="D61" s="71"/>
      <c r="E61" s="71"/>
      <c r="F61" s="71"/>
      <c r="G61" s="71"/>
      <c r="H61" s="71"/>
      <c r="I61" s="90"/>
      <c r="J61" s="102">
        <v>0</v>
      </c>
      <c r="K61" s="90"/>
    </row>
    <row r="62" spans="1:14" x14ac:dyDescent="0.25">
      <c r="A62" s="17" t="s">
        <v>92</v>
      </c>
      <c r="B62" s="17" t="s">
        <v>93</v>
      </c>
      <c r="C62" s="70">
        <v>75240.899999999994</v>
      </c>
      <c r="G62" s="70">
        <v>-75240.899999999994</v>
      </c>
      <c r="H62" s="70">
        <v>150481.79999999999</v>
      </c>
      <c r="I62" s="103">
        <f>C62*2</f>
        <v>150481.79999999999</v>
      </c>
      <c r="J62" s="102">
        <f>I62*DATAARK!$B$3</f>
        <v>150481.79999999999</v>
      </c>
      <c r="K62" s="102">
        <f>J62*DATAARK!$C$3</f>
        <v>150481.79999999999</v>
      </c>
      <c r="N62" s="40">
        <f>IF(J62&gt;0,0,2)</f>
        <v>0</v>
      </c>
    </row>
    <row r="63" spans="1:14" x14ac:dyDescent="0.25">
      <c r="A63" s="18" t="s">
        <v>94</v>
      </c>
      <c r="B63" s="18" t="s">
        <v>95</v>
      </c>
      <c r="C63" s="71">
        <v>75240.899999999994</v>
      </c>
      <c r="D63" s="71"/>
      <c r="E63" s="71"/>
      <c r="F63" s="71"/>
      <c r="G63" s="71">
        <v>-75240.899999999994</v>
      </c>
      <c r="H63" s="71">
        <v>150481.79999999999</v>
      </c>
      <c r="I63" s="90">
        <f>I62</f>
        <v>150481.79999999999</v>
      </c>
      <c r="J63" s="90">
        <f>J62</f>
        <v>150481.79999999999</v>
      </c>
      <c r="K63" s="90">
        <f>K62</f>
        <v>150481.79999999999</v>
      </c>
    </row>
    <row r="64" spans="1:14" x14ac:dyDescent="0.25">
      <c r="A64" s="17" t="s">
        <v>12</v>
      </c>
      <c r="B64" s="17" t="s">
        <v>12</v>
      </c>
    </row>
    <row r="65" spans="1:14" x14ac:dyDescent="0.25">
      <c r="A65" s="18" t="s">
        <v>96</v>
      </c>
      <c r="B65" s="18" t="s">
        <v>97</v>
      </c>
      <c r="C65" s="71">
        <v>4909833.71</v>
      </c>
      <c r="D65" s="71">
        <v>12528994.199999999</v>
      </c>
      <c r="E65" s="71">
        <v>60.81</v>
      </c>
      <c r="F65" s="71">
        <v>39.19</v>
      </c>
      <c r="G65" s="71">
        <v>7619160.4900000002</v>
      </c>
      <c r="H65" s="71">
        <v>11135903.965301402</v>
      </c>
      <c r="I65" s="90">
        <f>I63+I59+I46</f>
        <v>11131468.765301403</v>
      </c>
      <c r="J65" s="90">
        <f>J46+J59+J63</f>
        <v>10630510.800000001</v>
      </c>
      <c r="K65" s="90">
        <f>K46+K59+K63</f>
        <v>10630510.800000001</v>
      </c>
    </row>
    <row r="66" spans="1:14" x14ac:dyDescent="0.25">
      <c r="A66" s="17" t="s">
        <v>12</v>
      </c>
      <c r="B66" s="17" t="s">
        <v>12</v>
      </c>
    </row>
    <row r="67" spans="1:14" x14ac:dyDescent="0.25">
      <c r="A67" s="18" t="s">
        <v>98</v>
      </c>
      <c r="B67" s="18" t="s">
        <v>99</v>
      </c>
      <c r="C67" s="71"/>
      <c r="D67" s="71"/>
      <c r="E67" s="71"/>
      <c r="F67" s="71"/>
      <c r="G67" s="71"/>
      <c r="H67" s="71"/>
      <c r="I67" s="90"/>
      <c r="J67" s="104"/>
      <c r="K67" s="90"/>
    </row>
    <row r="68" spans="1:14" x14ac:dyDescent="0.25">
      <c r="A68" s="17" t="s">
        <v>100</v>
      </c>
      <c r="B68" s="17" t="s">
        <v>101</v>
      </c>
      <c r="J68" s="102">
        <f>I68*DATAARK!$B$3</f>
        <v>0</v>
      </c>
      <c r="K68" s="102">
        <f>J68*DATAARK!$C$3</f>
        <v>0</v>
      </c>
      <c r="N68" s="40">
        <f>IF(J68&gt;0,1,0)</f>
        <v>0</v>
      </c>
    </row>
    <row r="69" spans="1:14" x14ac:dyDescent="0.25">
      <c r="A69" s="17" t="s">
        <v>102</v>
      </c>
      <c r="B69" s="17" t="s">
        <v>103</v>
      </c>
      <c r="J69" s="102">
        <f>I69*DATAARK!$B$3</f>
        <v>0</v>
      </c>
      <c r="K69" s="102">
        <f>J69*DATAARK!$C$3</f>
        <v>0</v>
      </c>
      <c r="N69" s="40">
        <f>IF(J69&gt;0,1,0)</f>
        <v>0</v>
      </c>
    </row>
    <row r="70" spans="1:14" x14ac:dyDescent="0.25">
      <c r="A70" s="18" t="s">
        <v>104</v>
      </c>
      <c r="B70" s="18" t="s">
        <v>105</v>
      </c>
      <c r="C70" s="71"/>
      <c r="D70" s="71"/>
      <c r="E70" s="71"/>
      <c r="F70" s="71"/>
      <c r="G70" s="71"/>
      <c r="H70" s="71"/>
      <c r="I70" s="90"/>
      <c r="J70" s="104"/>
      <c r="K70" s="90"/>
    </row>
    <row r="71" spans="1:14" x14ac:dyDescent="0.25">
      <c r="A71" s="17" t="s">
        <v>12</v>
      </c>
      <c r="B71" s="17" t="s">
        <v>12</v>
      </c>
    </row>
    <row r="72" spans="1:14" x14ac:dyDescent="0.25">
      <c r="A72" s="18" t="s">
        <v>106</v>
      </c>
      <c r="B72" s="18" t="s">
        <v>107</v>
      </c>
      <c r="C72" s="71"/>
      <c r="D72" s="71"/>
      <c r="E72" s="71"/>
      <c r="F72" s="71"/>
      <c r="G72" s="71"/>
      <c r="H72" s="71"/>
      <c r="I72" s="90"/>
      <c r="J72" s="104"/>
      <c r="K72" s="90"/>
    </row>
    <row r="73" spans="1:14" x14ac:dyDescent="0.25">
      <c r="A73" s="17" t="s">
        <v>108</v>
      </c>
      <c r="B73" s="17" t="s">
        <v>109</v>
      </c>
      <c r="J73" s="102">
        <f>I73*DATAARK!$B$3</f>
        <v>0</v>
      </c>
      <c r="K73" s="102">
        <f>J73*DATAARK!$C$3</f>
        <v>0</v>
      </c>
      <c r="N73" s="40">
        <f>IF(J73&gt;0,1,0)</f>
        <v>0</v>
      </c>
    </row>
    <row r="74" spans="1:14" x14ac:dyDescent="0.25">
      <c r="A74" s="17" t="s">
        <v>110</v>
      </c>
      <c r="B74" s="17" t="s">
        <v>111</v>
      </c>
      <c r="J74" s="102">
        <f>I74*DATAARK!$B$3</f>
        <v>0</v>
      </c>
      <c r="K74" s="102">
        <f>J74*DATAARK!$C$3</f>
        <v>0</v>
      </c>
      <c r="N74" s="40">
        <f>IF(J74&gt;0,1,0)</f>
        <v>0</v>
      </c>
    </row>
    <row r="75" spans="1:14" x14ac:dyDescent="0.25">
      <c r="A75" s="17" t="s">
        <v>112</v>
      </c>
      <c r="B75" s="17" t="s">
        <v>113</v>
      </c>
      <c r="C75" s="70">
        <v>-18830</v>
      </c>
      <c r="D75" s="70">
        <v>-37660</v>
      </c>
      <c r="E75" s="70">
        <v>50</v>
      </c>
      <c r="F75" s="70">
        <v>50</v>
      </c>
      <c r="G75" s="70">
        <v>-18830</v>
      </c>
      <c r="H75" s="70">
        <v>-37660</v>
      </c>
      <c r="I75" s="89">
        <v>-37660</v>
      </c>
      <c r="J75" s="102">
        <f>I75*DATAARK!$B$3</f>
        <v>-37660</v>
      </c>
      <c r="K75" s="102">
        <f>J75*DATAARK!$C$3</f>
        <v>-37660</v>
      </c>
      <c r="N75" s="40">
        <f>IF(J75&gt;0,1,0)</f>
        <v>0</v>
      </c>
    </row>
    <row r="76" spans="1:14" x14ac:dyDescent="0.25">
      <c r="A76" s="17" t="s">
        <v>114</v>
      </c>
      <c r="B76" s="17" t="s">
        <v>115</v>
      </c>
      <c r="C76" s="70">
        <v>-62095</v>
      </c>
      <c r="D76" s="70">
        <v>-145600</v>
      </c>
      <c r="E76" s="70">
        <v>57.35</v>
      </c>
      <c r="F76" s="70">
        <v>42.65</v>
      </c>
      <c r="G76" s="70">
        <v>-83505</v>
      </c>
      <c r="H76" s="70">
        <v>-145600</v>
      </c>
      <c r="I76" s="89">
        <v>-145600</v>
      </c>
      <c r="J76" s="102">
        <f>I76*DATAARK!$B$3</f>
        <v>-145600</v>
      </c>
      <c r="K76" s="102">
        <f>J76*DATAARK!$C$3</f>
        <v>-145600</v>
      </c>
      <c r="N76" s="40">
        <f>IF(J76&gt;0,1,0)</f>
        <v>0</v>
      </c>
    </row>
    <row r="77" spans="1:14" x14ac:dyDescent="0.25">
      <c r="A77" s="18" t="s">
        <v>116</v>
      </c>
      <c r="B77" s="18" t="s">
        <v>117</v>
      </c>
      <c r="C77" s="71">
        <v>-80925</v>
      </c>
      <c r="D77" s="71">
        <v>-183260</v>
      </c>
      <c r="E77" s="71">
        <v>55.84</v>
      </c>
      <c r="F77" s="71">
        <v>44.16</v>
      </c>
      <c r="G77" s="71">
        <v>-102335</v>
      </c>
      <c r="H77" s="71">
        <v>-183260</v>
      </c>
      <c r="I77" s="90">
        <f>SUM(I73:I76)</f>
        <v>-183260</v>
      </c>
      <c r="J77" s="104">
        <f>SUM(J73:J76)</f>
        <v>-183260</v>
      </c>
      <c r="K77" s="90">
        <f>SUM(K73:K76)</f>
        <v>-183260</v>
      </c>
    </row>
    <row r="78" spans="1:14" x14ac:dyDescent="0.25">
      <c r="A78" s="17" t="s">
        <v>12</v>
      </c>
      <c r="B78" s="17" t="s">
        <v>12</v>
      </c>
    </row>
    <row r="79" spans="1:14" x14ac:dyDescent="0.25">
      <c r="A79" s="18" t="s">
        <v>118</v>
      </c>
      <c r="B79" s="18" t="s">
        <v>119</v>
      </c>
      <c r="C79" s="71"/>
      <c r="D79" s="71"/>
      <c r="E79" s="71"/>
      <c r="F79" s="71"/>
      <c r="G79" s="71"/>
      <c r="H79" s="71"/>
      <c r="I79" s="90"/>
      <c r="J79" s="104"/>
      <c r="K79" s="90"/>
    </row>
    <row r="80" spans="1:14" x14ac:dyDescent="0.25">
      <c r="A80" s="17" t="s">
        <v>120</v>
      </c>
      <c r="B80" s="17" t="s">
        <v>121</v>
      </c>
      <c r="N80" s="40">
        <f>IF(J80&gt;0,1,0)</f>
        <v>0</v>
      </c>
    </row>
    <row r="81" spans="1:14" x14ac:dyDescent="0.25">
      <c r="A81" s="17" t="s">
        <v>122</v>
      </c>
      <c r="B81" s="17" t="s">
        <v>123</v>
      </c>
      <c r="N81" s="40">
        <f>IF(J81&gt;0,1,0)</f>
        <v>0</v>
      </c>
    </row>
    <row r="82" spans="1:14" x14ac:dyDescent="0.25">
      <c r="A82" s="18" t="s">
        <v>124</v>
      </c>
      <c r="B82" s="18" t="s">
        <v>125</v>
      </c>
      <c r="C82" s="71"/>
      <c r="D82" s="71"/>
      <c r="E82" s="71"/>
      <c r="F82" s="71"/>
      <c r="G82" s="71"/>
      <c r="H82" s="71">
        <v>0</v>
      </c>
      <c r="I82" s="90">
        <f>I80+I81</f>
        <v>0</v>
      </c>
      <c r="J82" s="104"/>
      <c r="K82" s="90"/>
    </row>
    <row r="83" spans="1:14" x14ac:dyDescent="0.25">
      <c r="A83" s="17" t="s">
        <v>12</v>
      </c>
      <c r="B83" s="17" t="s">
        <v>12</v>
      </c>
    </row>
    <row r="84" spans="1:14" x14ac:dyDescent="0.25">
      <c r="A84" s="18" t="s">
        <v>126</v>
      </c>
      <c r="B84" s="18" t="s">
        <v>30</v>
      </c>
      <c r="C84" s="71"/>
      <c r="D84" s="71"/>
      <c r="E84" s="71"/>
      <c r="F84" s="71"/>
      <c r="G84" s="71"/>
      <c r="H84" s="71"/>
      <c r="I84" s="90"/>
      <c r="J84" s="104"/>
      <c r="K84" s="90"/>
    </row>
    <row r="85" spans="1:14" x14ac:dyDescent="0.25">
      <c r="A85" s="17" t="s">
        <v>127</v>
      </c>
      <c r="B85" s="17" t="s">
        <v>128</v>
      </c>
      <c r="J85" s="102">
        <f>I85*DATAARK!$B$4</f>
        <v>0</v>
      </c>
      <c r="K85" s="102">
        <f>J85*DATAARK!$C$4</f>
        <v>0</v>
      </c>
      <c r="N85" s="40">
        <f t="shared" ref="N85:N106" si="2">IF(J85&gt;0,1,0)</f>
        <v>0</v>
      </c>
    </row>
    <row r="86" spans="1:14" x14ac:dyDescent="0.25">
      <c r="A86" s="17" t="s">
        <v>129</v>
      </c>
      <c r="B86" s="17" t="s">
        <v>130</v>
      </c>
      <c r="D86" s="70">
        <v>-67392</v>
      </c>
      <c r="E86" s="70">
        <v>100</v>
      </c>
      <c r="G86" s="70">
        <v>-67392</v>
      </c>
      <c r="H86" s="70">
        <v>0</v>
      </c>
      <c r="I86" s="103">
        <v>0</v>
      </c>
      <c r="J86" s="102">
        <f>I86*DATAARK!$B$4</f>
        <v>0</v>
      </c>
      <c r="K86" s="102">
        <f>J86*DATAARK!$C$4</f>
        <v>0</v>
      </c>
      <c r="N86" s="40">
        <f t="shared" si="2"/>
        <v>0</v>
      </c>
    </row>
    <row r="87" spans="1:14" x14ac:dyDescent="0.25">
      <c r="A87" s="17" t="s">
        <v>131</v>
      </c>
      <c r="B87" s="17" t="s">
        <v>132</v>
      </c>
      <c r="J87" s="102">
        <f>I87*DATAARK!$B$4</f>
        <v>0</v>
      </c>
      <c r="K87" s="102">
        <f>J87*DATAARK!$C$4</f>
        <v>0</v>
      </c>
      <c r="N87" s="40">
        <f t="shared" si="2"/>
        <v>0</v>
      </c>
    </row>
    <row r="88" spans="1:14" x14ac:dyDescent="0.25">
      <c r="A88" s="17" t="s">
        <v>133</v>
      </c>
      <c r="B88" s="17" t="s">
        <v>134</v>
      </c>
      <c r="C88" s="70">
        <v>-1748.83</v>
      </c>
      <c r="G88" s="70">
        <v>1748.83</v>
      </c>
      <c r="H88" s="70">
        <v>-1748.83</v>
      </c>
      <c r="I88" s="89"/>
      <c r="J88" s="102">
        <f>I88*DATAARK!$B$4</f>
        <v>0</v>
      </c>
      <c r="K88" s="102">
        <f>J88*DATAARK!$C$4</f>
        <v>0</v>
      </c>
      <c r="N88" s="40">
        <f t="shared" si="2"/>
        <v>0</v>
      </c>
    </row>
    <row r="89" spans="1:14" x14ac:dyDescent="0.25">
      <c r="A89" s="17" t="s">
        <v>135</v>
      </c>
      <c r="B89" s="17" t="s">
        <v>136</v>
      </c>
      <c r="C89" s="70">
        <v>1748.83</v>
      </c>
      <c r="G89" s="70">
        <v>-1748.83</v>
      </c>
      <c r="H89" s="70">
        <v>1748.83</v>
      </c>
      <c r="I89" s="89"/>
      <c r="J89" s="102">
        <f>I89*DATAARK!$B$4</f>
        <v>0</v>
      </c>
      <c r="K89" s="102">
        <f>J89*DATAARK!$C$4</f>
        <v>0</v>
      </c>
      <c r="N89" s="40">
        <f t="shared" si="2"/>
        <v>0</v>
      </c>
    </row>
    <row r="90" spans="1:14" x14ac:dyDescent="0.25">
      <c r="A90" s="17" t="s">
        <v>137</v>
      </c>
      <c r="B90" s="17" t="s">
        <v>138</v>
      </c>
      <c r="C90" s="70">
        <v>-5215067.91</v>
      </c>
      <c r="D90" s="70">
        <v>-8651990.8900000006</v>
      </c>
      <c r="E90" s="70">
        <v>39.72</v>
      </c>
      <c r="F90" s="70">
        <v>60.28</v>
      </c>
      <c r="G90" s="70">
        <v>-3436922.98</v>
      </c>
      <c r="H90" s="70">
        <v>-8800448.2899999991</v>
      </c>
      <c r="I90" s="103">
        <v>-6804243.5899999999</v>
      </c>
      <c r="J90" s="102">
        <f>I90*DATAARK!$B$4</f>
        <v>-6804243.5899999999</v>
      </c>
      <c r="K90" s="102">
        <v>-6551464.4199999999</v>
      </c>
      <c r="N90" s="40">
        <f t="shared" si="2"/>
        <v>0</v>
      </c>
    </row>
    <row r="91" spans="1:14" x14ac:dyDescent="0.25">
      <c r="A91" s="17" t="s">
        <v>139</v>
      </c>
      <c r="B91" s="17" t="s">
        <v>140</v>
      </c>
      <c r="J91" s="102">
        <f>I91*DATAARK!$B$4</f>
        <v>0</v>
      </c>
      <c r="K91" s="102">
        <f>J91*DATAARK!$C$4</f>
        <v>0</v>
      </c>
      <c r="N91" s="40">
        <f t="shared" si="2"/>
        <v>0</v>
      </c>
    </row>
    <row r="92" spans="1:14" x14ac:dyDescent="0.25">
      <c r="A92" s="17" t="s">
        <v>141</v>
      </c>
      <c r="B92" s="17" t="s">
        <v>142</v>
      </c>
      <c r="J92" s="102">
        <f>I92*DATAARK!$B$4</f>
        <v>0</v>
      </c>
      <c r="K92" s="102">
        <f>J92*DATAARK!$C$4</f>
        <v>0</v>
      </c>
      <c r="N92" s="40">
        <f t="shared" si="2"/>
        <v>0</v>
      </c>
    </row>
    <row r="93" spans="1:14" x14ac:dyDescent="0.25">
      <c r="A93" s="17" t="s">
        <v>143</v>
      </c>
      <c r="B93" s="17" t="s">
        <v>144</v>
      </c>
      <c r="J93" s="102">
        <f>I93*DATAARK!$B$4</f>
        <v>0</v>
      </c>
      <c r="K93" s="102">
        <f>J93*DATAARK!$C$4</f>
        <v>0</v>
      </c>
      <c r="N93" s="40">
        <f t="shared" si="2"/>
        <v>0</v>
      </c>
    </row>
    <row r="94" spans="1:14" x14ac:dyDescent="0.25">
      <c r="A94" s="17" t="s">
        <v>145</v>
      </c>
      <c r="B94" s="17" t="s">
        <v>146</v>
      </c>
      <c r="J94" s="102">
        <f>I94*DATAARK!$B$4</f>
        <v>0</v>
      </c>
      <c r="K94" s="102">
        <f>J94*DATAARK!$C$4</f>
        <v>0</v>
      </c>
      <c r="N94" s="40">
        <f t="shared" si="2"/>
        <v>0</v>
      </c>
    </row>
    <row r="95" spans="1:14" x14ac:dyDescent="0.25">
      <c r="A95" s="17" t="s">
        <v>147</v>
      </c>
      <c r="B95" s="17" t="s">
        <v>148</v>
      </c>
      <c r="C95" s="70">
        <v>-6955.15</v>
      </c>
      <c r="G95" s="70">
        <v>6955.15</v>
      </c>
      <c r="H95" s="70">
        <v>-6955.15</v>
      </c>
      <c r="J95" s="102">
        <f>I95*DATAARK!$B$4</f>
        <v>0</v>
      </c>
      <c r="K95" s="102">
        <f>J95*DATAARK!$C$4</f>
        <v>0</v>
      </c>
      <c r="N95" s="40">
        <f t="shared" si="2"/>
        <v>0</v>
      </c>
    </row>
    <row r="96" spans="1:14" x14ac:dyDescent="0.25">
      <c r="A96" s="17" t="s">
        <v>149</v>
      </c>
      <c r="B96" s="17" t="s">
        <v>150</v>
      </c>
      <c r="J96" s="102">
        <f>I96*DATAARK!$B$4</f>
        <v>0</v>
      </c>
      <c r="K96" s="102">
        <f>J96*DATAARK!$C$4</f>
        <v>0</v>
      </c>
      <c r="N96" s="40">
        <f t="shared" si="2"/>
        <v>0</v>
      </c>
    </row>
    <row r="97" spans="1:14" x14ac:dyDescent="0.25">
      <c r="A97" s="17" t="s">
        <v>151</v>
      </c>
      <c r="B97" s="17" t="s">
        <v>152</v>
      </c>
      <c r="J97" s="102">
        <f>I97*DATAARK!$B$4</f>
        <v>0</v>
      </c>
      <c r="K97" s="102">
        <f>J97*DATAARK!$C$4</f>
        <v>0</v>
      </c>
      <c r="N97" s="40">
        <f t="shared" si="2"/>
        <v>0</v>
      </c>
    </row>
    <row r="98" spans="1:14" x14ac:dyDescent="0.25">
      <c r="A98" s="17" t="s">
        <v>153</v>
      </c>
      <c r="B98" s="17" t="s">
        <v>154</v>
      </c>
      <c r="J98" s="102">
        <f>I98*DATAARK!$B$4</f>
        <v>0</v>
      </c>
      <c r="K98" s="102">
        <f>J98*DATAARK!$C$4</f>
        <v>0</v>
      </c>
      <c r="N98" s="40">
        <f t="shared" si="2"/>
        <v>0</v>
      </c>
    </row>
    <row r="99" spans="1:14" x14ac:dyDescent="0.25">
      <c r="A99" s="17" t="s">
        <v>155</v>
      </c>
      <c r="B99" s="17" t="s">
        <v>156</v>
      </c>
      <c r="J99" s="102">
        <f>I99*DATAARK!$B$4</f>
        <v>0</v>
      </c>
      <c r="K99" s="102">
        <f>J99*DATAARK!$C$4</f>
        <v>0</v>
      </c>
      <c r="N99" s="40">
        <f t="shared" si="2"/>
        <v>0</v>
      </c>
    </row>
    <row r="100" spans="1:14" x14ac:dyDescent="0.25">
      <c r="A100" s="17" t="s">
        <v>157</v>
      </c>
      <c r="B100" s="17" t="s">
        <v>158</v>
      </c>
      <c r="J100" s="102">
        <f>I100*DATAARK!$B$4</f>
        <v>0</v>
      </c>
      <c r="K100" s="102">
        <f>J100*DATAARK!$C$4</f>
        <v>0</v>
      </c>
      <c r="N100" s="40">
        <f t="shared" si="2"/>
        <v>0</v>
      </c>
    </row>
    <row r="101" spans="1:14" x14ac:dyDescent="0.25">
      <c r="A101" s="17" t="s">
        <v>159</v>
      </c>
      <c r="B101" s="17" t="s">
        <v>160</v>
      </c>
      <c r="J101" s="102">
        <f>I101*DATAARK!$B$4</f>
        <v>0</v>
      </c>
      <c r="K101" s="102">
        <f>J101*DATAARK!$C$4</f>
        <v>0</v>
      </c>
      <c r="N101" s="40">
        <f t="shared" si="2"/>
        <v>0</v>
      </c>
    </row>
    <row r="102" spans="1:14" x14ac:dyDescent="0.25">
      <c r="A102" s="17" t="s">
        <v>161</v>
      </c>
      <c r="B102" s="17" t="s">
        <v>162</v>
      </c>
      <c r="J102" s="102">
        <f>I102*DATAARK!$B$4</f>
        <v>0</v>
      </c>
      <c r="K102" s="102">
        <f>J102*DATAARK!$C$4</f>
        <v>0</v>
      </c>
      <c r="N102" s="40">
        <f t="shared" si="2"/>
        <v>0</v>
      </c>
    </row>
    <row r="103" spans="1:14" x14ac:dyDescent="0.25">
      <c r="A103" s="17" t="s">
        <v>163</v>
      </c>
      <c r="B103" s="17" t="s">
        <v>164</v>
      </c>
      <c r="J103" s="102">
        <f>I103*DATAARK!$B$4</f>
        <v>0</v>
      </c>
      <c r="K103" s="102">
        <f>J103*DATAARK!$C$4</f>
        <v>0</v>
      </c>
      <c r="N103" s="40">
        <f t="shared" si="2"/>
        <v>0</v>
      </c>
    </row>
    <row r="104" spans="1:14" x14ac:dyDescent="0.25">
      <c r="A104" s="17" t="s">
        <v>165</v>
      </c>
      <c r="B104" s="17" t="s">
        <v>166</v>
      </c>
      <c r="J104" s="102">
        <f>I104*DATAARK!$B$4</f>
        <v>0</v>
      </c>
      <c r="K104" s="102">
        <f>J104*DATAARK!$C$4</f>
        <v>0</v>
      </c>
      <c r="N104" s="40">
        <f t="shared" si="2"/>
        <v>0</v>
      </c>
    </row>
    <row r="105" spans="1:14" x14ac:dyDescent="0.25">
      <c r="A105" s="17" t="s">
        <v>167</v>
      </c>
      <c r="B105" s="17" t="s">
        <v>168</v>
      </c>
      <c r="J105" s="102">
        <f>I105*DATAARK!$B$4</f>
        <v>0</v>
      </c>
      <c r="K105" s="102">
        <f>J105*DATAARK!$C$4</f>
        <v>0</v>
      </c>
      <c r="N105" s="40">
        <f t="shared" si="2"/>
        <v>0</v>
      </c>
    </row>
    <row r="106" spans="1:14" x14ac:dyDescent="0.25">
      <c r="A106" s="17" t="s">
        <v>169</v>
      </c>
      <c r="B106" s="17" t="s">
        <v>170</v>
      </c>
      <c r="C106" s="70">
        <v>297460.89</v>
      </c>
      <c r="G106" s="70">
        <v>-297460.89</v>
      </c>
      <c r="H106" s="70">
        <v>297460.89</v>
      </c>
      <c r="J106" s="102">
        <f>I106*DATAARK!$B$4</f>
        <v>0</v>
      </c>
      <c r="K106" s="102">
        <f>J106*DATAARK!$C$4</f>
        <v>0</v>
      </c>
      <c r="N106" s="40">
        <f t="shared" si="2"/>
        <v>0</v>
      </c>
    </row>
    <row r="107" spans="1:14" x14ac:dyDescent="0.25">
      <c r="A107" s="18" t="s">
        <v>171</v>
      </c>
      <c r="B107" s="18" t="s">
        <v>172</v>
      </c>
      <c r="C107" s="71">
        <v>-4924562.17</v>
      </c>
      <c r="D107" s="71">
        <v>-8719382.8900000006</v>
      </c>
      <c r="E107" s="71">
        <v>43.52</v>
      </c>
      <c r="F107" s="71">
        <v>56.48</v>
      </c>
      <c r="G107" s="71">
        <v>-3794820.72</v>
      </c>
      <c r="H107" s="71">
        <v>-8509942.5499999989</v>
      </c>
      <c r="I107" s="90">
        <f>SUM(I85:I106)</f>
        <v>-6804243.5899999999</v>
      </c>
      <c r="J107" s="102">
        <f>SUM(J85:J106)</f>
        <v>-6804243.5899999999</v>
      </c>
      <c r="K107" s="90">
        <f>SUM(K85:K106)</f>
        <v>-6551464.4199999999</v>
      </c>
    </row>
    <row r="108" spans="1:14" x14ac:dyDescent="0.25">
      <c r="A108" s="17" t="s">
        <v>12</v>
      </c>
      <c r="B108" s="17" t="s">
        <v>12</v>
      </c>
    </row>
    <row r="109" spans="1:14" x14ac:dyDescent="0.25">
      <c r="A109" s="18" t="s">
        <v>173</v>
      </c>
      <c r="B109" s="18" t="s">
        <v>174</v>
      </c>
      <c r="C109" s="71"/>
      <c r="D109" s="71"/>
      <c r="E109" s="71"/>
      <c r="F109" s="71"/>
      <c r="G109" s="71"/>
      <c r="H109" s="71"/>
      <c r="I109" s="90"/>
      <c r="J109" s="104"/>
      <c r="K109" s="90"/>
    </row>
    <row r="110" spans="1:14" x14ac:dyDescent="0.25">
      <c r="A110" s="17" t="s">
        <v>175</v>
      </c>
      <c r="B110" s="17" t="s">
        <v>174</v>
      </c>
      <c r="C110" s="70">
        <v>-836207.75</v>
      </c>
      <c r="D110" s="70">
        <v>-1772094.52</v>
      </c>
      <c r="E110" s="70">
        <v>52.81</v>
      </c>
      <c r="F110" s="70">
        <v>47.19</v>
      </c>
      <c r="G110" s="70">
        <v>-935886.77</v>
      </c>
      <c r="H110" s="70">
        <v>-1818360.17</v>
      </c>
      <c r="I110" s="103">
        <v>-1217337.53</v>
      </c>
      <c r="J110" s="102">
        <f>I110*DATAARK!$B$4</f>
        <v>-1217337.53</v>
      </c>
      <c r="K110" s="102">
        <v>1164458.7</v>
      </c>
      <c r="N110" s="40">
        <f>IF(J110&gt;0,1,0)</f>
        <v>0</v>
      </c>
    </row>
    <row r="111" spans="1:14" x14ac:dyDescent="0.25">
      <c r="A111" s="17" t="s">
        <v>176</v>
      </c>
      <c r="B111" s="17" t="s">
        <v>177</v>
      </c>
      <c r="J111" s="102">
        <f>I111*DATAARK!$B$4</f>
        <v>0</v>
      </c>
      <c r="K111" s="102">
        <f>J111*DATAARK!$C$4</f>
        <v>0</v>
      </c>
      <c r="N111" s="40">
        <f>IF(J111&gt;0,1,0)</f>
        <v>0</v>
      </c>
    </row>
    <row r="112" spans="1:14" x14ac:dyDescent="0.25">
      <c r="A112" s="18" t="s">
        <v>178</v>
      </c>
      <c r="B112" s="18" t="s">
        <v>179</v>
      </c>
      <c r="C112" s="71">
        <v>-836207.75</v>
      </c>
      <c r="D112" s="71">
        <v>-1772094.52</v>
      </c>
      <c r="E112" s="71">
        <v>52.81</v>
      </c>
      <c r="F112" s="71">
        <v>47.19</v>
      </c>
      <c r="G112" s="71">
        <v>-935886.77</v>
      </c>
      <c r="H112" s="71">
        <v>-1818360.17</v>
      </c>
      <c r="I112" s="90">
        <f>I110+I111</f>
        <v>-1217337.53</v>
      </c>
      <c r="J112" s="104">
        <f>J110+J111</f>
        <v>-1217337.53</v>
      </c>
      <c r="K112" s="90">
        <f>K110+K111</f>
        <v>1164458.7</v>
      </c>
    </row>
    <row r="113" spans="1:14" x14ac:dyDescent="0.25">
      <c r="A113" s="17" t="s">
        <v>12</v>
      </c>
      <c r="B113" s="17" t="s">
        <v>12</v>
      </c>
    </row>
    <row r="114" spans="1:14" x14ac:dyDescent="0.25">
      <c r="A114" s="18" t="s">
        <v>180</v>
      </c>
      <c r="B114" s="18" t="s">
        <v>181</v>
      </c>
      <c r="C114" s="71"/>
      <c r="D114" s="71"/>
      <c r="E114" s="71"/>
      <c r="F114" s="71"/>
      <c r="G114" s="71"/>
      <c r="H114" s="71"/>
      <c r="I114" s="90"/>
      <c r="K114" s="102"/>
    </row>
    <row r="115" spans="1:14" x14ac:dyDescent="0.25">
      <c r="A115" s="17" t="s">
        <v>182</v>
      </c>
      <c r="B115" s="17" t="s">
        <v>183</v>
      </c>
      <c r="C115" s="70">
        <v>299470.58</v>
      </c>
      <c r="D115" s="70">
        <v>164557</v>
      </c>
      <c r="E115" s="70">
        <v>-81.99</v>
      </c>
      <c r="F115" s="70">
        <v>181.99</v>
      </c>
      <c r="G115" s="70">
        <v>-134913.57999999999</v>
      </c>
      <c r="H115" s="70">
        <v>598941.16</v>
      </c>
      <c r="I115" s="103">
        <f>C115*2</f>
        <v>598941.16</v>
      </c>
      <c r="J115" s="102">
        <f>I115*DATAARK!$B$4</f>
        <v>598941.16</v>
      </c>
      <c r="K115" s="102">
        <f>J115*DATAARK!$C$4</f>
        <v>598941.16</v>
      </c>
      <c r="N115" s="40">
        <f t="shared" ref="N115:N121" si="3">IF(J115&gt;0,0,2)</f>
        <v>0</v>
      </c>
    </row>
    <row r="116" spans="1:14" x14ac:dyDescent="0.25">
      <c r="A116" s="17" t="s">
        <v>184</v>
      </c>
      <c r="B116" s="17" t="s">
        <v>185</v>
      </c>
      <c r="C116" s="70">
        <v>229280.81</v>
      </c>
      <c r="G116" s="70">
        <v>-229280.81</v>
      </c>
      <c r="H116" s="70">
        <v>229280.81</v>
      </c>
      <c r="I116" s="103">
        <f>C116</f>
        <v>229280.81</v>
      </c>
      <c r="J116" s="102">
        <f>I116*DATAARK!$B$4</f>
        <v>229280.81</v>
      </c>
      <c r="K116" s="102">
        <f>J116*DATAARK!$C$4</f>
        <v>229280.81</v>
      </c>
      <c r="N116" s="40">
        <f t="shared" si="3"/>
        <v>0</v>
      </c>
    </row>
    <row r="117" spans="1:14" x14ac:dyDescent="0.25">
      <c r="A117" s="17" t="s">
        <v>186</v>
      </c>
      <c r="B117" s="17" t="s">
        <v>187</v>
      </c>
      <c r="J117" s="102">
        <f>I117*DATAARK!$B$4</f>
        <v>0</v>
      </c>
      <c r="K117" s="102">
        <f>J117*DATAARK!$C$4</f>
        <v>0</v>
      </c>
      <c r="N117" s="40">
        <f t="shared" si="3"/>
        <v>2</v>
      </c>
    </row>
    <row r="118" spans="1:14" x14ac:dyDescent="0.25">
      <c r="A118" s="17" t="s">
        <v>188</v>
      </c>
      <c r="B118" s="17" t="s">
        <v>189</v>
      </c>
      <c r="C118" s="70">
        <v>97435.8</v>
      </c>
      <c r="G118" s="70">
        <v>-97435.8</v>
      </c>
      <c r="H118" s="70">
        <v>97435.8</v>
      </c>
      <c r="I118" s="103">
        <f>C118</f>
        <v>97435.8</v>
      </c>
      <c r="J118" s="102">
        <f>I118*DATAARK!$B$4</f>
        <v>97435.8</v>
      </c>
      <c r="K118" s="102">
        <f>J118*DATAARK!$C$4</f>
        <v>97435.8</v>
      </c>
      <c r="N118" s="40">
        <f t="shared" si="3"/>
        <v>0</v>
      </c>
    </row>
    <row r="119" spans="1:14" x14ac:dyDescent="0.25">
      <c r="A119" s="17" t="s">
        <v>190</v>
      </c>
      <c r="B119" s="17" t="s">
        <v>191</v>
      </c>
      <c r="J119" s="102">
        <f>I119*DATAARK!$B$4</f>
        <v>0</v>
      </c>
      <c r="K119" s="102">
        <f>J119*DATAARK!$C$4</f>
        <v>0</v>
      </c>
      <c r="N119" s="40">
        <f t="shared" si="3"/>
        <v>2</v>
      </c>
    </row>
    <row r="120" spans="1:14" x14ac:dyDescent="0.25">
      <c r="A120" s="17" t="s">
        <v>192</v>
      </c>
      <c r="B120" s="17" t="s">
        <v>193</v>
      </c>
      <c r="J120" s="102">
        <f>I120*DATAARK!$B$4</f>
        <v>0</v>
      </c>
      <c r="K120" s="102">
        <f>J120*DATAARK!$C$4</f>
        <v>0</v>
      </c>
      <c r="N120" s="40">
        <f t="shared" si="3"/>
        <v>2</v>
      </c>
    </row>
    <row r="121" spans="1:14" x14ac:dyDescent="0.25">
      <c r="A121" s="17" t="s">
        <v>194</v>
      </c>
      <c r="B121" s="17" t="s">
        <v>195</v>
      </c>
      <c r="J121" s="102">
        <f>I121*DATAARK!$B$4</f>
        <v>0</v>
      </c>
      <c r="K121" s="102">
        <f>J121*DATAARK!$C$4</f>
        <v>0</v>
      </c>
      <c r="N121" s="40">
        <f t="shared" si="3"/>
        <v>2</v>
      </c>
    </row>
    <row r="122" spans="1:14" x14ac:dyDescent="0.25">
      <c r="A122" s="18" t="s">
        <v>196</v>
      </c>
      <c r="B122" s="18" t="s">
        <v>197</v>
      </c>
      <c r="C122" s="71">
        <v>626187.18999999994</v>
      </c>
      <c r="D122" s="71">
        <v>164557</v>
      </c>
      <c r="E122" s="71">
        <v>-280.52999999999997</v>
      </c>
      <c r="F122" s="71">
        <v>380.53</v>
      </c>
      <c r="G122" s="71">
        <v>-461630.19</v>
      </c>
      <c r="H122" s="71">
        <v>925657.77</v>
      </c>
      <c r="I122" s="90">
        <f>SUM(I115:I121)</f>
        <v>925657.77</v>
      </c>
      <c r="J122" s="104">
        <f>SUM(J115:J121)</f>
        <v>925657.77</v>
      </c>
      <c r="K122" s="90">
        <f>SUM(K115:K121)</f>
        <v>925657.77</v>
      </c>
    </row>
    <row r="123" spans="1:14" x14ac:dyDescent="0.25">
      <c r="A123" s="18" t="s">
        <v>198</v>
      </c>
      <c r="B123" s="18" t="s">
        <v>199</v>
      </c>
      <c r="C123" s="71">
        <v>-5134582.7300000004</v>
      </c>
      <c r="D123" s="71">
        <v>-10326920.41</v>
      </c>
      <c r="E123" s="71">
        <v>50.28</v>
      </c>
      <c r="F123" s="71">
        <v>49.72</v>
      </c>
      <c r="G123" s="71">
        <v>-5192337.68</v>
      </c>
      <c r="H123" s="71">
        <v>-9402644.9499999993</v>
      </c>
      <c r="I123" s="90">
        <f>I122+I112+I107</f>
        <v>-7095923.3499999996</v>
      </c>
      <c r="J123" s="104">
        <f>J122+J112+J107</f>
        <v>-7095923.3499999996</v>
      </c>
      <c r="K123" s="90">
        <f>K122+K112+K107</f>
        <v>-4461347.95</v>
      </c>
    </row>
    <row r="124" spans="1:14" x14ac:dyDescent="0.25">
      <c r="A124" s="17" t="s">
        <v>12</v>
      </c>
      <c r="B124" s="17" t="s">
        <v>12</v>
      </c>
    </row>
    <row r="125" spans="1:14" x14ac:dyDescent="0.25">
      <c r="A125" s="18" t="s">
        <v>200</v>
      </c>
      <c r="B125" s="18" t="s">
        <v>201</v>
      </c>
      <c r="C125" s="71">
        <v>-5215507.7300000004</v>
      </c>
      <c r="D125" s="71">
        <v>-10510180.41</v>
      </c>
      <c r="E125" s="71">
        <v>50.38</v>
      </c>
      <c r="F125" s="71">
        <v>49.62</v>
      </c>
      <c r="G125" s="71">
        <v>-5294672.68</v>
      </c>
      <c r="H125" s="71">
        <v>-9585904.9499999993</v>
      </c>
      <c r="I125" s="90">
        <f>I123+I82+I77</f>
        <v>-7279183.3499999996</v>
      </c>
      <c r="J125" s="104">
        <f>J123+J82+J77</f>
        <v>-7279183.3499999996</v>
      </c>
      <c r="K125" s="90">
        <f>K123+K82+K77</f>
        <v>-4644607.95</v>
      </c>
    </row>
    <row r="126" spans="1:14" x14ac:dyDescent="0.25">
      <c r="A126" s="17" t="s">
        <v>12</v>
      </c>
      <c r="B126" s="17" t="s">
        <v>12</v>
      </c>
    </row>
    <row r="127" spans="1:14" x14ac:dyDescent="0.25">
      <c r="A127" s="18" t="s">
        <v>202</v>
      </c>
      <c r="B127" s="18" t="s">
        <v>203</v>
      </c>
      <c r="C127" s="71">
        <v>-305674.02</v>
      </c>
      <c r="D127" s="71">
        <v>2018813.79</v>
      </c>
      <c r="E127" s="71">
        <v>115.14</v>
      </c>
      <c r="F127" s="71">
        <v>-15.14</v>
      </c>
      <c r="G127" s="71">
        <v>2324487.81</v>
      </c>
      <c r="H127" s="71">
        <v>1549999.0153014027</v>
      </c>
      <c r="I127" s="90">
        <f>I125+I65</f>
        <v>3852285.415301403</v>
      </c>
      <c r="J127" s="104">
        <f>J125+J65</f>
        <v>3351327.4500000011</v>
      </c>
      <c r="K127" s="90">
        <f>K125+K65</f>
        <v>5985902.8500000006</v>
      </c>
    </row>
    <row r="128" spans="1:14" x14ac:dyDescent="0.25">
      <c r="A128" s="17" t="s">
        <v>12</v>
      </c>
      <c r="B128" s="17" t="s">
        <v>12</v>
      </c>
    </row>
    <row r="129" spans="1:14" x14ac:dyDescent="0.25">
      <c r="A129" s="18" t="s">
        <v>204</v>
      </c>
      <c r="B129" s="18" t="s">
        <v>205</v>
      </c>
      <c r="C129" s="71"/>
      <c r="D129" s="71"/>
      <c r="E129" s="71"/>
      <c r="F129" s="71"/>
      <c r="G129" s="71"/>
      <c r="H129" s="71"/>
      <c r="I129" s="90"/>
      <c r="J129" s="104"/>
      <c r="K129" s="90"/>
    </row>
    <row r="130" spans="1:14" x14ac:dyDescent="0.25">
      <c r="A130" s="17" t="s">
        <v>206</v>
      </c>
      <c r="B130" s="17" t="s">
        <v>207</v>
      </c>
      <c r="C130" s="70">
        <v>10780</v>
      </c>
      <c r="D130" s="70">
        <v>102704</v>
      </c>
      <c r="E130" s="70">
        <v>89.5</v>
      </c>
      <c r="F130" s="70">
        <v>10.5</v>
      </c>
      <c r="G130" s="70">
        <v>91924</v>
      </c>
      <c r="H130" s="70">
        <v>102704</v>
      </c>
      <c r="I130" s="89">
        <v>102704</v>
      </c>
      <c r="J130" s="102">
        <f>I130*DATAARK!$B$3</f>
        <v>102704</v>
      </c>
      <c r="K130" s="102">
        <f>J130*DATAARK!$C$3</f>
        <v>102704</v>
      </c>
      <c r="N130" s="40">
        <f t="shared" ref="N130:N136" si="4">IF(J130&gt;0,0,2)</f>
        <v>0</v>
      </c>
    </row>
    <row r="131" spans="1:14" x14ac:dyDescent="0.25">
      <c r="A131" s="17" t="s">
        <v>208</v>
      </c>
      <c r="B131" s="17" t="s">
        <v>209</v>
      </c>
      <c r="C131" s="70">
        <v>2843.83</v>
      </c>
      <c r="G131" s="70">
        <v>-2843.83</v>
      </c>
      <c r="H131" s="70">
        <v>2843.83</v>
      </c>
      <c r="J131" s="102">
        <f>I131*DATAARK!$B$3</f>
        <v>0</v>
      </c>
      <c r="K131" s="102">
        <f>J131*DATAARK!$C$3</f>
        <v>0</v>
      </c>
      <c r="N131" s="40">
        <f t="shared" si="4"/>
        <v>2</v>
      </c>
    </row>
    <row r="132" spans="1:14" x14ac:dyDescent="0.25">
      <c r="A132" s="17" t="s">
        <v>210</v>
      </c>
      <c r="B132" s="17" t="s">
        <v>211</v>
      </c>
      <c r="J132" s="102">
        <f>I132*DATAARK!$B$3</f>
        <v>0</v>
      </c>
      <c r="K132" s="102">
        <f>J132*DATAARK!$C$3</f>
        <v>0</v>
      </c>
      <c r="N132" s="40">
        <f t="shared" si="4"/>
        <v>2</v>
      </c>
    </row>
    <row r="133" spans="1:14" x14ac:dyDescent="0.25">
      <c r="A133" s="17" t="s">
        <v>212</v>
      </c>
      <c r="B133" s="17" t="s">
        <v>213</v>
      </c>
      <c r="J133" s="102">
        <f>I133*DATAARK!$B$3</f>
        <v>0</v>
      </c>
      <c r="K133" s="102">
        <f>J133*DATAARK!$C$3</f>
        <v>0</v>
      </c>
      <c r="N133" s="40">
        <f t="shared" si="4"/>
        <v>2</v>
      </c>
    </row>
    <row r="134" spans="1:14" x14ac:dyDescent="0.25">
      <c r="A134" s="17" t="s">
        <v>214</v>
      </c>
      <c r="B134" s="17" t="s">
        <v>215</v>
      </c>
      <c r="J134" s="102">
        <f>I134*DATAARK!$B$3</f>
        <v>0</v>
      </c>
      <c r="K134" s="102">
        <f>J134*DATAARK!$C$3</f>
        <v>0</v>
      </c>
      <c r="N134" s="40">
        <f t="shared" si="4"/>
        <v>2</v>
      </c>
    </row>
    <row r="135" spans="1:14" x14ac:dyDescent="0.25">
      <c r="A135" s="17" t="s">
        <v>216</v>
      </c>
      <c r="B135" s="17" t="s">
        <v>217</v>
      </c>
      <c r="J135" s="102">
        <f>I135*DATAARK!$B$3</f>
        <v>0</v>
      </c>
      <c r="K135" s="102">
        <f>J135*DATAARK!$C$3</f>
        <v>0</v>
      </c>
      <c r="N135" s="40">
        <f t="shared" si="4"/>
        <v>2</v>
      </c>
    </row>
    <row r="136" spans="1:14" x14ac:dyDescent="0.25">
      <c r="A136" s="18" t="s">
        <v>218</v>
      </c>
      <c r="B136" s="18" t="s">
        <v>219</v>
      </c>
      <c r="C136" s="71">
        <v>13623.83</v>
      </c>
      <c r="D136" s="71">
        <v>102704</v>
      </c>
      <c r="E136" s="71">
        <v>86.73</v>
      </c>
      <c r="F136" s="71">
        <v>13.27</v>
      </c>
      <c r="G136" s="71">
        <v>89080.17</v>
      </c>
      <c r="H136" s="71">
        <v>105547.83</v>
      </c>
      <c r="I136" s="90">
        <f>SUM(I130:I135)</f>
        <v>102704</v>
      </c>
      <c r="J136" s="104">
        <f>SUM(J130:J135)</f>
        <v>102704</v>
      </c>
      <c r="K136" s="90">
        <f>SUM(K130:K135)</f>
        <v>102704</v>
      </c>
      <c r="N136" s="40">
        <f t="shared" si="4"/>
        <v>0</v>
      </c>
    </row>
    <row r="137" spans="1:14" x14ac:dyDescent="0.25">
      <c r="A137" s="17" t="s">
        <v>12</v>
      </c>
      <c r="B137" s="17" t="s">
        <v>12</v>
      </c>
    </row>
    <row r="138" spans="1:14" x14ac:dyDescent="0.25">
      <c r="A138" s="18" t="s">
        <v>220</v>
      </c>
      <c r="B138" s="18" t="s">
        <v>221</v>
      </c>
      <c r="C138" s="71"/>
      <c r="D138" s="71"/>
      <c r="E138" s="71"/>
      <c r="F138" s="71"/>
      <c r="G138" s="71"/>
      <c r="H138" s="71"/>
      <c r="I138" s="90"/>
      <c r="J138" s="104"/>
      <c r="K138" s="90"/>
    </row>
    <row r="139" spans="1:14" x14ac:dyDescent="0.25">
      <c r="A139" s="17" t="s">
        <v>222</v>
      </c>
      <c r="B139" s="17" t="s">
        <v>223</v>
      </c>
      <c r="J139" s="102">
        <f>I139*DATAARK!$B$3</f>
        <v>0</v>
      </c>
      <c r="K139" s="102">
        <f>J139*DATAARK!$C$3</f>
        <v>0</v>
      </c>
      <c r="N139" s="40">
        <f>IF(J139&gt;0,1,0)</f>
        <v>0</v>
      </c>
    </row>
    <row r="140" spans="1:14" x14ac:dyDescent="0.25">
      <c r="A140" s="17" t="s">
        <v>224</v>
      </c>
      <c r="B140" s="17" t="s">
        <v>225</v>
      </c>
      <c r="J140" s="102">
        <f>I140*DATAARK!$B$3</f>
        <v>0</v>
      </c>
      <c r="K140" s="102">
        <f>J140*DATAARK!$C$3</f>
        <v>0</v>
      </c>
      <c r="N140" s="40">
        <f t="shared" ref="N140:N203" si="5">IF(J140&gt;0,1,0)</f>
        <v>0</v>
      </c>
    </row>
    <row r="141" spans="1:14" x14ac:dyDescent="0.25">
      <c r="A141" s="17" t="s">
        <v>226</v>
      </c>
      <c r="B141" s="17" t="s">
        <v>227</v>
      </c>
      <c r="C141" s="70">
        <v>-471666.32</v>
      </c>
      <c r="D141" s="70">
        <v>-510415.7</v>
      </c>
      <c r="E141" s="70">
        <v>7.59</v>
      </c>
      <c r="F141" s="70">
        <v>92.41</v>
      </c>
      <c r="G141" s="70">
        <v>-38749.379999999997</v>
      </c>
      <c r="H141" s="70">
        <v>-1296647.2921999998</v>
      </c>
      <c r="I141" s="103">
        <f>'Fælles adm.'!I142*-1*0.13</f>
        <v>-1095135.7091999999</v>
      </c>
      <c r="J141" s="103">
        <f>'Fælles adm.'!J142*-1*0.149</f>
        <v>-1827626.19985</v>
      </c>
      <c r="K141" s="103">
        <f>'Fælles adm.'!K142*-1*0.149</f>
        <v>-1483803.7023899998</v>
      </c>
      <c r="N141" s="40">
        <f t="shared" si="5"/>
        <v>0</v>
      </c>
    </row>
    <row r="142" spans="1:14" x14ac:dyDescent="0.25">
      <c r="A142" s="17" t="s">
        <v>228</v>
      </c>
      <c r="B142" s="17" t="s">
        <v>229</v>
      </c>
      <c r="J142" s="102">
        <f>I142*DATAARK!$B$3</f>
        <v>0</v>
      </c>
      <c r="K142" s="102">
        <f>J142*DATAARK!$C$3</f>
        <v>0</v>
      </c>
      <c r="N142" s="40">
        <f t="shared" si="5"/>
        <v>0</v>
      </c>
    </row>
    <row r="143" spans="1:14" x14ac:dyDescent="0.25">
      <c r="A143" s="17" t="s">
        <v>230</v>
      </c>
      <c r="B143" s="17" t="s">
        <v>231</v>
      </c>
      <c r="C143" s="70">
        <v>-2080</v>
      </c>
      <c r="G143" s="70">
        <v>2080</v>
      </c>
      <c r="H143" s="70">
        <v>-2080</v>
      </c>
      <c r="J143" s="102">
        <f>I143*DATAARK!$B$3</f>
        <v>0</v>
      </c>
      <c r="K143" s="102">
        <f>J143*DATAARK!$C$3</f>
        <v>0</v>
      </c>
      <c r="N143" s="40">
        <f t="shared" si="5"/>
        <v>0</v>
      </c>
    </row>
    <row r="144" spans="1:14" x14ac:dyDescent="0.25">
      <c r="A144" s="17" t="s">
        <v>232</v>
      </c>
      <c r="B144" s="17" t="s">
        <v>233</v>
      </c>
      <c r="C144" s="70">
        <v>-2101.8200000000002</v>
      </c>
      <c r="D144" s="70">
        <v>-42000</v>
      </c>
      <c r="E144" s="70">
        <v>95</v>
      </c>
      <c r="F144" s="70">
        <v>5</v>
      </c>
      <c r="G144" s="70">
        <v>-39898.18</v>
      </c>
      <c r="H144" s="70">
        <v>-42000</v>
      </c>
      <c r="I144" s="89">
        <v>-15000</v>
      </c>
      <c r="J144" s="102">
        <f>I144*DATAARK!$B$3</f>
        <v>-15000</v>
      </c>
      <c r="K144" s="102">
        <f>J144*DATAARK!$C$3</f>
        <v>-15000</v>
      </c>
      <c r="N144" s="40">
        <f t="shared" si="5"/>
        <v>0</v>
      </c>
    </row>
    <row r="145" spans="1:14" x14ac:dyDescent="0.25">
      <c r="A145" s="17" t="s">
        <v>234</v>
      </c>
      <c r="B145" s="17" t="s">
        <v>235</v>
      </c>
      <c r="D145" s="70">
        <v>-5000</v>
      </c>
      <c r="E145" s="70">
        <v>100</v>
      </c>
      <c r="G145" s="70">
        <v>-5000</v>
      </c>
      <c r="H145" s="70">
        <v>-5000</v>
      </c>
      <c r="I145" s="89">
        <v>-5000</v>
      </c>
      <c r="J145" s="102">
        <f>I145*DATAARK!$B$3</f>
        <v>-5000</v>
      </c>
      <c r="K145" s="102">
        <f>J145*DATAARK!$C$3</f>
        <v>-5000</v>
      </c>
      <c r="N145" s="40">
        <f t="shared" si="5"/>
        <v>0</v>
      </c>
    </row>
    <row r="146" spans="1:14" x14ac:dyDescent="0.25">
      <c r="A146" s="17" t="s">
        <v>236</v>
      </c>
      <c r="B146" s="17" t="s">
        <v>237</v>
      </c>
      <c r="C146" s="70">
        <v>-159.19999999999999</v>
      </c>
      <c r="D146" s="70">
        <v>-5000</v>
      </c>
      <c r="E146" s="70">
        <v>96.82</v>
      </c>
      <c r="F146" s="70">
        <v>3.18</v>
      </c>
      <c r="G146" s="70">
        <v>-4840.8</v>
      </c>
      <c r="H146" s="70">
        <v>-5000</v>
      </c>
      <c r="I146" s="89">
        <v>-5000</v>
      </c>
      <c r="J146" s="102">
        <f>I146*DATAARK!$B$3</f>
        <v>-5000</v>
      </c>
      <c r="K146" s="102">
        <f>J146*DATAARK!$C$3</f>
        <v>-5000</v>
      </c>
      <c r="N146" s="40">
        <f t="shared" si="5"/>
        <v>0</v>
      </c>
    </row>
    <row r="147" spans="1:14" x14ac:dyDescent="0.25">
      <c r="A147" s="17" t="s">
        <v>238</v>
      </c>
      <c r="B147" s="17" t="s">
        <v>239</v>
      </c>
      <c r="D147" s="70">
        <v>-12000</v>
      </c>
      <c r="E147" s="70">
        <v>100</v>
      </c>
      <c r="G147" s="70">
        <v>-12000</v>
      </c>
      <c r="H147" s="70">
        <v>-12000</v>
      </c>
      <c r="I147" s="89">
        <v>-4000</v>
      </c>
      <c r="J147" s="102">
        <f>I147*DATAARK!$B$3</f>
        <v>-4000</v>
      </c>
      <c r="K147" s="102">
        <f>J147*DATAARK!$C$3</f>
        <v>-4000</v>
      </c>
      <c r="N147" s="40">
        <f t="shared" si="5"/>
        <v>0</v>
      </c>
    </row>
    <row r="148" spans="1:14" x14ac:dyDescent="0.25">
      <c r="A148" s="17" t="s">
        <v>240</v>
      </c>
      <c r="B148" s="17" t="s">
        <v>241</v>
      </c>
      <c r="C148" s="70">
        <v>-38500</v>
      </c>
      <c r="G148" s="70">
        <v>38500</v>
      </c>
      <c r="H148" s="70">
        <v>-38500</v>
      </c>
      <c r="K148" s="102">
        <f>J148*DATAARK!$C$3</f>
        <v>0</v>
      </c>
      <c r="N148" s="40">
        <f t="shared" si="5"/>
        <v>0</v>
      </c>
    </row>
    <row r="149" spans="1:14" x14ac:dyDescent="0.25">
      <c r="A149" s="17" t="s">
        <v>242</v>
      </c>
      <c r="B149" s="17" t="s">
        <v>243</v>
      </c>
      <c r="C149" s="70">
        <v>-16006.14</v>
      </c>
      <c r="D149" s="70">
        <v>-60000</v>
      </c>
      <c r="E149" s="70">
        <v>73.319999999999993</v>
      </c>
      <c r="F149" s="70">
        <v>26.68</v>
      </c>
      <c r="G149" s="70">
        <v>-43993.86</v>
      </c>
      <c r="H149" s="70">
        <v>-60000</v>
      </c>
      <c r="I149" s="89"/>
      <c r="J149" s="102">
        <f>I149*DATAARK!$B$3</f>
        <v>0</v>
      </c>
      <c r="K149" s="102">
        <f>J149*DATAARK!$C$3</f>
        <v>0</v>
      </c>
      <c r="N149" s="40">
        <f t="shared" si="5"/>
        <v>0</v>
      </c>
    </row>
    <row r="150" spans="1:14" x14ac:dyDescent="0.25">
      <c r="A150" s="17" t="s">
        <v>244</v>
      </c>
      <c r="B150" s="17" t="s">
        <v>245</v>
      </c>
      <c r="C150" s="70">
        <v>-33385.599999999999</v>
      </c>
      <c r="D150" s="70">
        <v>-6400</v>
      </c>
      <c r="E150" s="70">
        <v>-421.65</v>
      </c>
      <c r="F150" s="70">
        <v>521.65</v>
      </c>
      <c r="G150" s="70">
        <v>26985.599999999999</v>
      </c>
      <c r="H150" s="70">
        <v>-6400</v>
      </c>
      <c r="I150" s="89"/>
      <c r="J150" s="102">
        <f>I150*DATAARK!$B$3</f>
        <v>0</v>
      </c>
      <c r="K150" s="102">
        <f>J150*DATAARK!$C$3</f>
        <v>0</v>
      </c>
      <c r="N150" s="40">
        <f t="shared" si="5"/>
        <v>0</v>
      </c>
    </row>
    <row r="151" spans="1:14" x14ac:dyDescent="0.25">
      <c r="A151" s="17" t="s">
        <v>246</v>
      </c>
      <c r="B151" s="17" t="s">
        <v>247</v>
      </c>
      <c r="C151" s="70">
        <v>-288078.40000000002</v>
      </c>
      <c r="D151" s="70">
        <v>-313875</v>
      </c>
      <c r="E151" s="70">
        <v>8.2200000000000006</v>
      </c>
      <c r="F151" s="70">
        <v>91.78</v>
      </c>
      <c r="G151" s="70">
        <v>-25796.6</v>
      </c>
      <c r="H151" s="70">
        <v>-275375</v>
      </c>
      <c r="I151" s="89"/>
      <c r="K151" s="102"/>
      <c r="N151" s="40">
        <f t="shared" si="5"/>
        <v>0</v>
      </c>
    </row>
    <row r="152" spans="1:14" x14ac:dyDescent="0.25">
      <c r="A152" s="17" t="s">
        <v>248</v>
      </c>
      <c r="B152" s="17" t="s">
        <v>249</v>
      </c>
      <c r="C152" s="70">
        <v>-32022.05</v>
      </c>
      <c r="D152" s="70">
        <v>-50000</v>
      </c>
      <c r="E152" s="70">
        <v>35.96</v>
      </c>
      <c r="F152" s="70">
        <v>64.040000000000006</v>
      </c>
      <c r="G152" s="70">
        <v>-17977.95</v>
      </c>
      <c r="H152" s="70">
        <v>-50000</v>
      </c>
      <c r="I152" s="89">
        <v>-50000</v>
      </c>
      <c r="J152" s="102">
        <f>I152*DATAARK!$B$3</f>
        <v>-50000</v>
      </c>
      <c r="K152" s="102">
        <f>J152*DATAARK!$C$3</f>
        <v>-50000</v>
      </c>
      <c r="N152" s="40">
        <f t="shared" si="5"/>
        <v>0</v>
      </c>
    </row>
    <row r="153" spans="1:14" x14ac:dyDescent="0.25">
      <c r="A153" s="17" t="s">
        <v>250</v>
      </c>
      <c r="B153" s="17" t="s">
        <v>251</v>
      </c>
      <c r="I153" s="89"/>
      <c r="J153" s="102">
        <f>I153*DATAARK!$B$3</f>
        <v>0</v>
      </c>
      <c r="K153" s="102">
        <f>J153*DATAARK!$C$3</f>
        <v>0</v>
      </c>
      <c r="N153" s="40">
        <f t="shared" si="5"/>
        <v>0</v>
      </c>
    </row>
    <row r="154" spans="1:14" x14ac:dyDescent="0.25">
      <c r="A154" s="17" t="s">
        <v>252</v>
      </c>
      <c r="B154" s="17" t="s">
        <v>253</v>
      </c>
      <c r="C154" s="70">
        <v>-71891.22</v>
      </c>
      <c r="D154" s="70">
        <v>-70000</v>
      </c>
      <c r="E154" s="70">
        <v>-2.7</v>
      </c>
      <c r="F154" s="70">
        <v>102.7</v>
      </c>
      <c r="G154" s="70">
        <v>1891.22</v>
      </c>
      <c r="H154" s="70">
        <v>-71891.22</v>
      </c>
      <c r="I154" s="103">
        <f>C154</f>
        <v>-71891.22</v>
      </c>
      <c r="J154" s="102">
        <f>I154*DATAARK!$B$3</f>
        <v>-71891.22</v>
      </c>
      <c r="K154" s="102">
        <f>J154*DATAARK!$C$3</f>
        <v>-71891.22</v>
      </c>
      <c r="N154" s="40">
        <f t="shared" si="5"/>
        <v>0</v>
      </c>
    </row>
    <row r="155" spans="1:14" x14ac:dyDescent="0.25">
      <c r="A155" s="17" t="s">
        <v>254</v>
      </c>
      <c r="B155" s="17" t="s">
        <v>255</v>
      </c>
      <c r="C155" s="70">
        <v>-24450</v>
      </c>
      <c r="D155" s="70">
        <v>-58000</v>
      </c>
      <c r="E155" s="70">
        <v>57.84</v>
      </c>
      <c r="F155" s="70">
        <v>42.16</v>
      </c>
      <c r="G155" s="70">
        <v>-33550</v>
      </c>
      <c r="H155" s="70">
        <v>-58000</v>
      </c>
      <c r="I155" s="89"/>
      <c r="J155" s="102">
        <f>I155*DATAARK!$B$3</f>
        <v>0</v>
      </c>
      <c r="K155" s="102">
        <f>J155*DATAARK!$C$3</f>
        <v>0</v>
      </c>
      <c r="N155" s="40">
        <f t="shared" si="5"/>
        <v>0</v>
      </c>
    </row>
    <row r="156" spans="1:14" x14ac:dyDescent="0.25">
      <c r="A156" s="17" t="s">
        <v>256</v>
      </c>
      <c r="B156" s="17" t="s">
        <v>257</v>
      </c>
      <c r="D156" s="70">
        <v>-10433.33</v>
      </c>
      <c r="E156" s="70">
        <v>100</v>
      </c>
      <c r="G156" s="70">
        <v>-10433.33</v>
      </c>
      <c r="H156" s="70">
        <v>-10433.33</v>
      </c>
      <c r="I156" s="89">
        <v>-8200</v>
      </c>
      <c r="J156" s="102">
        <f>I156*DATAARK!$B$3</f>
        <v>-8200</v>
      </c>
      <c r="K156" s="102">
        <f>J156*DATAARK!$C$3</f>
        <v>-8200</v>
      </c>
      <c r="N156" s="40">
        <f t="shared" si="5"/>
        <v>0</v>
      </c>
    </row>
    <row r="157" spans="1:14" x14ac:dyDescent="0.25">
      <c r="A157" s="17" t="s">
        <v>258</v>
      </c>
      <c r="B157" s="17" t="s">
        <v>259</v>
      </c>
      <c r="I157" s="89"/>
      <c r="J157" s="102">
        <f>I157*DATAARK!$B$3</f>
        <v>0</v>
      </c>
      <c r="K157" s="102">
        <f>J157*DATAARK!$C$3</f>
        <v>0</v>
      </c>
      <c r="N157" s="40">
        <f t="shared" si="5"/>
        <v>0</v>
      </c>
    </row>
    <row r="158" spans="1:14" x14ac:dyDescent="0.25">
      <c r="A158" s="17" t="s">
        <v>260</v>
      </c>
      <c r="B158" s="17" t="s">
        <v>261</v>
      </c>
      <c r="D158" s="70">
        <v>-111192</v>
      </c>
      <c r="E158" s="70">
        <v>100</v>
      </c>
      <c r="G158" s="70">
        <v>-111192</v>
      </c>
      <c r="H158" s="70">
        <v>0</v>
      </c>
      <c r="I158" s="89">
        <v>0</v>
      </c>
      <c r="J158" s="102">
        <f>I158*DATAARK!$B$3</f>
        <v>0</v>
      </c>
      <c r="K158" s="102">
        <f>J158*DATAARK!$C$3</f>
        <v>0</v>
      </c>
      <c r="N158" s="40">
        <f t="shared" si="5"/>
        <v>0</v>
      </c>
    </row>
    <row r="159" spans="1:14" x14ac:dyDescent="0.25">
      <c r="A159" s="17" t="s">
        <v>262</v>
      </c>
      <c r="B159" s="17" t="s">
        <v>263</v>
      </c>
      <c r="C159" s="70">
        <v>-1792.76</v>
      </c>
      <c r="G159" s="70">
        <v>1792.76</v>
      </c>
      <c r="H159" s="70">
        <v>-1792.76</v>
      </c>
      <c r="I159" s="89"/>
      <c r="J159" s="102">
        <f>I159*DATAARK!$B$3</f>
        <v>0</v>
      </c>
      <c r="K159" s="102">
        <f>J159*DATAARK!$C$3</f>
        <v>0</v>
      </c>
      <c r="N159" s="40">
        <f t="shared" si="5"/>
        <v>0</v>
      </c>
    </row>
    <row r="160" spans="1:14" x14ac:dyDescent="0.25">
      <c r="A160" s="17" t="s">
        <v>264</v>
      </c>
      <c r="B160" s="17" t="s">
        <v>265</v>
      </c>
      <c r="I160" s="89"/>
      <c r="J160" s="102">
        <f>I160*DATAARK!$B$3</f>
        <v>0</v>
      </c>
      <c r="K160" s="102">
        <f>J160*DATAARK!$C$3</f>
        <v>0</v>
      </c>
      <c r="N160" s="40">
        <f t="shared" si="5"/>
        <v>0</v>
      </c>
    </row>
    <row r="161" spans="1:14" x14ac:dyDescent="0.25">
      <c r="A161" s="17" t="s">
        <v>266</v>
      </c>
      <c r="B161" s="17" t="s">
        <v>267</v>
      </c>
      <c r="I161" s="89"/>
      <c r="J161" s="102">
        <f>I161*DATAARK!$B$3</f>
        <v>0</v>
      </c>
      <c r="K161" s="102">
        <f>J161*DATAARK!$C$3</f>
        <v>0</v>
      </c>
      <c r="N161" s="40">
        <f t="shared" si="5"/>
        <v>0</v>
      </c>
    </row>
    <row r="162" spans="1:14" x14ac:dyDescent="0.25">
      <c r="A162" s="17" t="s">
        <v>268</v>
      </c>
      <c r="B162" s="17" t="s">
        <v>269</v>
      </c>
      <c r="C162" s="70">
        <v>-129031.34</v>
      </c>
      <c r="D162" s="70">
        <v>-290000</v>
      </c>
      <c r="E162" s="70">
        <v>55.51</v>
      </c>
      <c r="F162" s="70">
        <v>44.49</v>
      </c>
      <c r="G162" s="70">
        <v>-160968.66</v>
      </c>
      <c r="H162" s="70">
        <v>-290000</v>
      </c>
      <c r="I162" s="89"/>
      <c r="J162" s="102">
        <f>I162*DATAARK!$B$3</f>
        <v>0</v>
      </c>
      <c r="K162" s="102">
        <f>J162*DATAARK!$C$3</f>
        <v>0</v>
      </c>
      <c r="N162" s="40">
        <f t="shared" si="5"/>
        <v>0</v>
      </c>
    </row>
    <row r="163" spans="1:14" x14ac:dyDescent="0.25">
      <c r="A163" s="17" t="s">
        <v>270</v>
      </c>
      <c r="B163" s="17" t="s">
        <v>271</v>
      </c>
      <c r="C163" s="70">
        <v>-58285.279999999999</v>
      </c>
      <c r="D163" s="70">
        <v>-70000</v>
      </c>
      <c r="E163" s="70">
        <v>16.739999999999998</v>
      </c>
      <c r="F163" s="70">
        <v>83.26</v>
      </c>
      <c r="G163" s="70">
        <v>-11714.72</v>
      </c>
      <c r="H163" s="70">
        <v>-116570.56</v>
      </c>
      <c r="I163" s="89"/>
      <c r="J163" s="102">
        <f>I163*DATAARK!$B$3</f>
        <v>0</v>
      </c>
      <c r="K163" s="102">
        <f>J163*DATAARK!$C$3</f>
        <v>0</v>
      </c>
      <c r="N163" s="40">
        <f t="shared" si="5"/>
        <v>0</v>
      </c>
    </row>
    <row r="164" spans="1:14" x14ac:dyDescent="0.25">
      <c r="A164" s="17" t="s">
        <v>272</v>
      </c>
      <c r="B164" s="17" t="s">
        <v>273</v>
      </c>
      <c r="C164" s="70">
        <v>-425.62</v>
      </c>
      <c r="D164" s="70">
        <v>-28000</v>
      </c>
      <c r="E164" s="70">
        <v>98.48</v>
      </c>
      <c r="F164" s="70">
        <v>1.52</v>
      </c>
      <c r="G164" s="70">
        <v>-27574.38</v>
      </c>
      <c r="H164" s="70">
        <v>-28000</v>
      </c>
      <c r="I164" s="89"/>
      <c r="J164" s="102">
        <f>I164*DATAARK!$B$3</f>
        <v>0</v>
      </c>
      <c r="K164" s="102">
        <f>J164*DATAARK!$C$3</f>
        <v>0</v>
      </c>
      <c r="N164" s="40">
        <f t="shared" si="5"/>
        <v>0</v>
      </c>
    </row>
    <row r="165" spans="1:14" x14ac:dyDescent="0.25">
      <c r="A165" s="17" t="s">
        <v>274</v>
      </c>
      <c r="B165" s="17" t="s">
        <v>275</v>
      </c>
      <c r="C165" s="70">
        <v>-2603.77</v>
      </c>
      <c r="D165" s="70">
        <v>-15000</v>
      </c>
      <c r="E165" s="70">
        <v>82.64</v>
      </c>
      <c r="F165" s="70">
        <v>17.36</v>
      </c>
      <c r="G165" s="70">
        <v>-12396.23</v>
      </c>
      <c r="H165" s="70">
        <v>-15000</v>
      </c>
      <c r="I165" s="89"/>
      <c r="J165" s="102">
        <f>I165*DATAARK!$B$3</f>
        <v>0</v>
      </c>
      <c r="K165" s="102">
        <f>J165*DATAARK!$C$3</f>
        <v>0</v>
      </c>
      <c r="N165" s="40">
        <f t="shared" si="5"/>
        <v>0</v>
      </c>
    </row>
    <row r="166" spans="1:14" x14ac:dyDescent="0.25">
      <c r="A166" s="17" t="s">
        <v>276</v>
      </c>
      <c r="B166" s="17" t="s">
        <v>277</v>
      </c>
      <c r="C166" s="70">
        <v>-6510.29</v>
      </c>
      <c r="D166" s="70">
        <v>-35000</v>
      </c>
      <c r="E166" s="70">
        <v>81.400000000000006</v>
      </c>
      <c r="F166" s="70">
        <v>18.600000000000001</v>
      </c>
      <c r="G166" s="70">
        <v>-28489.71</v>
      </c>
      <c r="H166" s="70">
        <v>-35000</v>
      </c>
      <c r="I166" s="89"/>
      <c r="J166" s="102">
        <f>I166*DATAARK!$B$3</f>
        <v>0</v>
      </c>
      <c r="K166" s="102">
        <f>J166*DATAARK!$C$3</f>
        <v>0</v>
      </c>
      <c r="N166" s="40">
        <f t="shared" si="5"/>
        <v>0</v>
      </c>
    </row>
    <row r="167" spans="1:14" x14ac:dyDescent="0.25">
      <c r="A167" s="17" t="s">
        <v>278</v>
      </c>
      <c r="B167" s="17" t="s">
        <v>279</v>
      </c>
      <c r="I167" s="89"/>
      <c r="J167" s="102">
        <f>I167*DATAARK!$B$3</f>
        <v>0</v>
      </c>
      <c r="K167" s="102">
        <f>J167*DATAARK!$C$3</f>
        <v>0</v>
      </c>
      <c r="N167" s="40">
        <f t="shared" si="5"/>
        <v>0</v>
      </c>
    </row>
    <row r="168" spans="1:14" x14ac:dyDescent="0.25">
      <c r="A168" s="17" t="s">
        <v>280</v>
      </c>
      <c r="B168" s="17" t="s">
        <v>281</v>
      </c>
      <c r="C168" s="70">
        <v>-17500</v>
      </c>
      <c r="D168" s="70">
        <v>-30000</v>
      </c>
      <c r="E168" s="70">
        <v>41.67</v>
      </c>
      <c r="F168" s="70">
        <v>58.33</v>
      </c>
      <c r="G168" s="70">
        <v>-12500</v>
      </c>
      <c r="H168" s="70">
        <v>-30000</v>
      </c>
      <c r="I168" s="89">
        <v>-30000</v>
      </c>
      <c r="J168" s="102">
        <f>I168*DATAARK!$B$3</f>
        <v>-30000</v>
      </c>
      <c r="K168" s="102">
        <f>J168*DATAARK!$C$3</f>
        <v>-30000</v>
      </c>
      <c r="N168" s="40">
        <f t="shared" si="5"/>
        <v>0</v>
      </c>
    </row>
    <row r="169" spans="1:14" x14ac:dyDescent="0.25">
      <c r="A169" s="17" t="s">
        <v>282</v>
      </c>
      <c r="B169" s="17" t="s">
        <v>283</v>
      </c>
      <c r="C169" s="70">
        <v>-6073.48</v>
      </c>
      <c r="D169" s="70">
        <v>-25000</v>
      </c>
      <c r="E169" s="70">
        <v>75.709999999999994</v>
      </c>
      <c r="F169" s="70">
        <v>24.29</v>
      </c>
      <c r="G169" s="70">
        <v>-18926.52</v>
      </c>
      <c r="H169" s="70">
        <v>-25000</v>
      </c>
      <c r="I169" s="89"/>
      <c r="J169" s="102">
        <f>I169*DATAARK!$B$3</f>
        <v>0</v>
      </c>
      <c r="K169" s="102">
        <f>J169*DATAARK!$C$3</f>
        <v>0</v>
      </c>
      <c r="N169" s="40">
        <f t="shared" si="5"/>
        <v>0</v>
      </c>
    </row>
    <row r="170" spans="1:14" x14ac:dyDescent="0.25">
      <c r="A170" s="17" t="s">
        <v>284</v>
      </c>
      <c r="B170" s="17" t="s">
        <v>285</v>
      </c>
      <c r="I170" s="89"/>
      <c r="J170" s="102">
        <f>I170*DATAARK!$B$3</f>
        <v>0</v>
      </c>
      <c r="K170" s="102">
        <f>J170*DATAARK!$C$3</f>
        <v>0</v>
      </c>
      <c r="N170" s="40">
        <f t="shared" si="5"/>
        <v>0</v>
      </c>
    </row>
    <row r="171" spans="1:14" x14ac:dyDescent="0.25">
      <c r="A171" s="17" t="s">
        <v>286</v>
      </c>
      <c r="B171" s="17" t="s">
        <v>287</v>
      </c>
      <c r="I171" s="89"/>
      <c r="J171" s="102">
        <f>I171*DATAARK!$B$3</f>
        <v>0</v>
      </c>
      <c r="K171" s="102">
        <f>J171*DATAARK!$C$3</f>
        <v>0</v>
      </c>
      <c r="N171" s="40">
        <f t="shared" si="5"/>
        <v>0</v>
      </c>
    </row>
    <row r="172" spans="1:14" x14ac:dyDescent="0.25">
      <c r="A172" s="17" t="s">
        <v>288</v>
      </c>
      <c r="B172" s="17" t="s">
        <v>289</v>
      </c>
      <c r="C172" s="70">
        <v>-4395.5</v>
      </c>
      <c r="G172" s="70">
        <v>4395.5</v>
      </c>
      <c r="H172" s="70">
        <v>-4395.5</v>
      </c>
      <c r="I172" s="89"/>
      <c r="J172" s="102">
        <f>I172*DATAARK!$B$3</f>
        <v>0</v>
      </c>
      <c r="K172" s="102">
        <f>J172*DATAARK!$C$3</f>
        <v>0</v>
      </c>
      <c r="N172" s="40">
        <f t="shared" si="5"/>
        <v>0</v>
      </c>
    </row>
    <row r="173" spans="1:14" x14ac:dyDescent="0.25">
      <c r="A173" s="17" t="s">
        <v>290</v>
      </c>
      <c r="B173" s="17" t="s">
        <v>291</v>
      </c>
      <c r="D173" s="70">
        <v>-16000</v>
      </c>
      <c r="E173" s="70">
        <v>100</v>
      </c>
      <c r="G173" s="70">
        <v>-16000</v>
      </c>
      <c r="H173" s="70">
        <v>-16000</v>
      </c>
      <c r="I173" s="89">
        <v>-16000</v>
      </c>
      <c r="J173" s="102">
        <f>I173*DATAARK!$B$3</f>
        <v>-16000</v>
      </c>
      <c r="K173" s="102">
        <f>J173*DATAARK!$C$3</f>
        <v>-16000</v>
      </c>
      <c r="N173" s="40">
        <f t="shared" si="5"/>
        <v>0</v>
      </c>
    </row>
    <row r="174" spans="1:14" x14ac:dyDescent="0.25">
      <c r="A174" s="17" t="s">
        <v>292</v>
      </c>
      <c r="B174" s="17" t="s">
        <v>293</v>
      </c>
      <c r="C174" s="70">
        <v>-14381.66</v>
      </c>
      <c r="D174" s="70">
        <v>-42000</v>
      </c>
      <c r="E174" s="70">
        <v>65.760000000000005</v>
      </c>
      <c r="F174" s="70">
        <v>34.24</v>
      </c>
      <c r="G174" s="70">
        <v>-27618.34</v>
      </c>
      <c r="H174" s="70">
        <v>-42000</v>
      </c>
      <c r="I174" s="89">
        <v>-42000</v>
      </c>
      <c r="J174" s="102">
        <f>I174*DATAARK!$B$3</f>
        <v>-42000</v>
      </c>
      <c r="K174" s="102">
        <f>J174*DATAARK!$C$3</f>
        <v>-42000</v>
      </c>
      <c r="N174" s="40">
        <f t="shared" si="5"/>
        <v>0</v>
      </c>
    </row>
    <row r="175" spans="1:14" x14ac:dyDescent="0.25">
      <c r="A175" s="17" t="s">
        <v>294</v>
      </c>
      <c r="B175" s="17" t="s">
        <v>295</v>
      </c>
      <c r="I175" s="89"/>
      <c r="J175" s="102">
        <f>I175*DATAARK!$B$3</f>
        <v>0</v>
      </c>
      <c r="K175" s="102">
        <f>J175*DATAARK!$C$3</f>
        <v>0</v>
      </c>
      <c r="N175" s="40">
        <f t="shared" si="5"/>
        <v>0</v>
      </c>
    </row>
    <row r="176" spans="1:14" x14ac:dyDescent="0.25">
      <c r="A176" s="17" t="s">
        <v>296</v>
      </c>
      <c r="B176" s="17" t="s">
        <v>297</v>
      </c>
      <c r="C176" s="70">
        <v>-2409.44</v>
      </c>
      <c r="D176" s="70">
        <v>-3000</v>
      </c>
      <c r="E176" s="70">
        <v>19.690000000000001</v>
      </c>
      <c r="F176" s="70">
        <v>80.31</v>
      </c>
      <c r="G176" s="70">
        <v>-590.55999999999995</v>
      </c>
      <c r="H176" s="70">
        <v>-3000</v>
      </c>
      <c r="I176" s="89">
        <v>-3000</v>
      </c>
      <c r="J176" s="102">
        <f>I176*DATAARK!$B$3</f>
        <v>-3000</v>
      </c>
      <c r="K176" s="102">
        <f>J176*DATAARK!$C$3</f>
        <v>-3000</v>
      </c>
      <c r="N176" s="40">
        <f t="shared" si="5"/>
        <v>0</v>
      </c>
    </row>
    <row r="177" spans="1:14" x14ac:dyDescent="0.25">
      <c r="A177" s="17" t="s">
        <v>298</v>
      </c>
      <c r="B177" s="17" t="s">
        <v>299</v>
      </c>
      <c r="C177" s="70">
        <v>-47999.97</v>
      </c>
      <c r="D177" s="70">
        <v>-82000</v>
      </c>
      <c r="E177" s="70">
        <v>41.46</v>
      </c>
      <c r="F177" s="70">
        <v>58.54</v>
      </c>
      <c r="G177" s="70">
        <v>-34000.03</v>
      </c>
      <c r="H177" s="70">
        <v>-82000</v>
      </c>
      <c r="I177" s="89">
        <v>-82000</v>
      </c>
      <c r="J177" s="102">
        <f>I177*DATAARK!$B$3</f>
        <v>-82000</v>
      </c>
      <c r="K177" s="102">
        <f>J177*DATAARK!$C$3</f>
        <v>-82000</v>
      </c>
      <c r="N177" s="40">
        <f t="shared" si="5"/>
        <v>0</v>
      </c>
    </row>
    <row r="178" spans="1:14" x14ac:dyDescent="0.25">
      <c r="A178" s="17" t="s">
        <v>300</v>
      </c>
      <c r="B178" s="17" t="s">
        <v>301</v>
      </c>
      <c r="C178" s="70">
        <v>-3294</v>
      </c>
      <c r="G178" s="70">
        <v>3294</v>
      </c>
      <c r="H178" s="70">
        <v>-3294</v>
      </c>
      <c r="I178" s="89"/>
      <c r="J178" s="102">
        <f>I178*DATAARK!$B$3</f>
        <v>0</v>
      </c>
      <c r="K178" s="102">
        <f>J178*DATAARK!$C$3</f>
        <v>0</v>
      </c>
      <c r="N178" s="40">
        <f t="shared" si="5"/>
        <v>0</v>
      </c>
    </row>
    <row r="179" spans="1:14" x14ac:dyDescent="0.25">
      <c r="A179" s="17" t="s">
        <v>302</v>
      </c>
      <c r="B179" s="17" t="s">
        <v>303</v>
      </c>
      <c r="C179" s="70">
        <v>-6436</v>
      </c>
      <c r="D179" s="70">
        <v>-18000</v>
      </c>
      <c r="E179" s="70">
        <v>64.239999999999995</v>
      </c>
      <c r="F179" s="70">
        <v>35.76</v>
      </c>
      <c r="G179" s="70">
        <v>-11564</v>
      </c>
      <c r="H179" s="70">
        <v>-18000</v>
      </c>
      <c r="I179" s="89">
        <v>-18000</v>
      </c>
      <c r="J179" s="102">
        <f>I179*DATAARK!$B$3</f>
        <v>-18000</v>
      </c>
      <c r="K179" s="102">
        <f>J179*DATAARK!$C$3</f>
        <v>-18000</v>
      </c>
      <c r="N179" s="40">
        <f t="shared" si="5"/>
        <v>0</v>
      </c>
    </row>
    <row r="180" spans="1:14" x14ac:dyDescent="0.25">
      <c r="A180" s="17" t="s">
        <v>304</v>
      </c>
      <c r="B180" s="17" t="s">
        <v>305</v>
      </c>
      <c r="D180" s="70">
        <v>-10000</v>
      </c>
      <c r="E180" s="70">
        <v>100</v>
      </c>
      <c r="G180" s="70">
        <v>-10000</v>
      </c>
      <c r="H180" s="70">
        <v>-5000</v>
      </c>
      <c r="I180" s="89">
        <v>-5000</v>
      </c>
      <c r="J180" s="102">
        <f>I180*DATAARK!$B$3</f>
        <v>-5000</v>
      </c>
      <c r="K180" s="102">
        <f>J180*DATAARK!$C$3</f>
        <v>-5000</v>
      </c>
      <c r="N180" s="40">
        <f t="shared" si="5"/>
        <v>0</v>
      </c>
    </row>
    <row r="181" spans="1:14" x14ac:dyDescent="0.25">
      <c r="A181" s="17" t="s">
        <v>306</v>
      </c>
      <c r="B181" s="17" t="s">
        <v>307</v>
      </c>
      <c r="D181" s="70">
        <v>-30000</v>
      </c>
      <c r="E181" s="70">
        <v>100</v>
      </c>
      <c r="G181" s="70">
        <v>-30000</v>
      </c>
      <c r="H181" s="70">
        <v>-30000</v>
      </c>
      <c r="I181" s="89">
        <v>-30000</v>
      </c>
      <c r="J181" s="102">
        <f>I181*DATAARK!$B$3</f>
        <v>-30000</v>
      </c>
      <c r="K181" s="102">
        <f>J181*DATAARK!$C$3</f>
        <v>-30000</v>
      </c>
      <c r="N181" s="40">
        <f t="shared" si="5"/>
        <v>0</v>
      </c>
    </row>
    <row r="182" spans="1:14" x14ac:dyDescent="0.25">
      <c r="A182" s="17" t="s">
        <v>308</v>
      </c>
      <c r="B182" s="17" t="s">
        <v>309</v>
      </c>
      <c r="C182" s="70">
        <v>-14696.4</v>
      </c>
      <c r="D182" s="70">
        <v>-20000</v>
      </c>
      <c r="E182" s="70">
        <v>26.52</v>
      </c>
      <c r="F182" s="70">
        <v>73.48</v>
      </c>
      <c r="G182" s="70">
        <v>-5303.6</v>
      </c>
      <c r="H182" s="70">
        <v>-20000</v>
      </c>
      <c r="I182" s="89">
        <v>-20000</v>
      </c>
      <c r="J182" s="102">
        <f>I182*DATAARK!$B$3</f>
        <v>-20000</v>
      </c>
      <c r="K182" s="102">
        <f>J182*DATAARK!$C$3</f>
        <v>-20000</v>
      </c>
      <c r="N182" s="40">
        <f t="shared" si="5"/>
        <v>0</v>
      </c>
    </row>
    <row r="183" spans="1:14" x14ac:dyDescent="0.25">
      <c r="A183" s="17" t="s">
        <v>310</v>
      </c>
      <c r="B183" s="17" t="s">
        <v>311</v>
      </c>
      <c r="I183" s="89"/>
      <c r="J183" s="102">
        <f>I183*DATAARK!$B$3</f>
        <v>0</v>
      </c>
      <c r="K183" s="102">
        <f>J183*DATAARK!$C$3</f>
        <v>0</v>
      </c>
      <c r="N183" s="40">
        <f t="shared" si="5"/>
        <v>0</v>
      </c>
    </row>
    <row r="184" spans="1:14" x14ac:dyDescent="0.25">
      <c r="A184" s="17" t="s">
        <v>312</v>
      </c>
      <c r="B184" s="17" t="s">
        <v>313</v>
      </c>
      <c r="C184" s="70">
        <v>-7605.59</v>
      </c>
      <c r="D184" s="70">
        <v>-52166.68</v>
      </c>
      <c r="E184" s="70">
        <v>85.42</v>
      </c>
      <c r="F184" s="70">
        <v>14.58</v>
      </c>
      <c r="G184" s="70">
        <v>-44561.09</v>
      </c>
      <c r="H184" s="70">
        <v>-52166.68</v>
      </c>
      <c r="I184" s="89">
        <v>-41000</v>
      </c>
      <c r="J184" s="102">
        <f>I184*DATAARK!$B$3</f>
        <v>-41000</v>
      </c>
      <c r="K184" s="102">
        <f>J184*DATAARK!$C$3</f>
        <v>-41000</v>
      </c>
      <c r="N184" s="40">
        <f t="shared" si="5"/>
        <v>0</v>
      </c>
    </row>
    <row r="185" spans="1:14" x14ac:dyDescent="0.25">
      <c r="A185" s="17" t="s">
        <v>314</v>
      </c>
      <c r="B185" s="17" t="s">
        <v>315</v>
      </c>
      <c r="C185" s="70">
        <v>-20245</v>
      </c>
      <c r="D185" s="70">
        <v>-43500</v>
      </c>
      <c r="E185" s="70">
        <v>53.46</v>
      </c>
      <c r="F185" s="70">
        <v>46.54</v>
      </c>
      <c r="G185" s="70">
        <v>-23255</v>
      </c>
      <c r="H185" s="70">
        <v>-43500</v>
      </c>
      <c r="I185" s="89">
        <v>-25000</v>
      </c>
      <c r="J185" s="102">
        <f>I185*DATAARK!$B$3</f>
        <v>-25000</v>
      </c>
      <c r="K185" s="102">
        <f>J185*DATAARK!$C$3</f>
        <v>-25000</v>
      </c>
      <c r="N185" s="40">
        <f t="shared" si="5"/>
        <v>0</v>
      </c>
    </row>
    <row r="186" spans="1:14" x14ac:dyDescent="0.25">
      <c r="A186" s="17" t="s">
        <v>316</v>
      </c>
      <c r="B186" s="17" t="s">
        <v>317</v>
      </c>
      <c r="C186" s="70">
        <v>-1487.32</v>
      </c>
      <c r="D186" s="70">
        <v>-12000</v>
      </c>
      <c r="E186" s="70">
        <v>87.61</v>
      </c>
      <c r="F186" s="70">
        <v>12.39</v>
      </c>
      <c r="G186" s="70">
        <v>-10512.68</v>
      </c>
      <c r="H186" s="70">
        <v>-12000</v>
      </c>
      <c r="I186" s="89">
        <v>-12000</v>
      </c>
      <c r="J186" s="102">
        <f>I186*DATAARK!$B$3</f>
        <v>-12000</v>
      </c>
      <c r="K186" s="102">
        <f>J186*DATAARK!$C$3</f>
        <v>-12000</v>
      </c>
      <c r="N186" s="40">
        <f t="shared" si="5"/>
        <v>0</v>
      </c>
    </row>
    <row r="187" spans="1:14" x14ac:dyDescent="0.25">
      <c r="A187" s="17" t="s">
        <v>318</v>
      </c>
      <c r="B187" s="17" t="s">
        <v>319</v>
      </c>
      <c r="C187" s="70">
        <v>-6401.59</v>
      </c>
      <c r="D187" s="70">
        <v>-180000</v>
      </c>
      <c r="E187" s="70">
        <v>96.44</v>
      </c>
      <c r="F187" s="70">
        <v>3.56</v>
      </c>
      <c r="G187" s="70">
        <v>-173598.41</v>
      </c>
      <c r="H187" s="70">
        <v>-180000</v>
      </c>
      <c r="I187" s="89">
        <v>-100000</v>
      </c>
      <c r="J187" s="102">
        <f>I187*DATAARK!$B$3</f>
        <v>-100000</v>
      </c>
      <c r="K187" s="102">
        <f>J187*DATAARK!$C$3</f>
        <v>-100000</v>
      </c>
      <c r="N187" s="40">
        <f t="shared" si="5"/>
        <v>0</v>
      </c>
    </row>
    <row r="188" spans="1:14" x14ac:dyDescent="0.25">
      <c r="A188" s="17" t="s">
        <v>320</v>
      </c>
      <c r="B188" s="17" t="s">
        <v>321</v>
      </c>
      <c r="C188" s="70">
        <v>-3942.97</v>
      </c>
      <c r="D188" s="70">
        <v>-41733.33</v>
      </c>
      <c r="E188" s="70">
        <v>90.55</v>
      </c>
      <c r="F188" s="70">
        <v>9.4499999999999993</v>
      </c>
      <c r="G188" s="70">
        <v>-37790.36</v>
      </c>
      <c r="H188" s="70">
        <v>-41733.33</v>
      </c>
      <c r="I188" s="89">
        <v>-32800</v>
      </c>
      <c r="J188" s="102">
        <f>I188*DATAARK!$B$3</f>
        <v>-32800</v>
      </c>
      <c r="K188" s="102">
        <f>J188*DATAARK!$C$3</f>
        <v>-32800</v>
      </c>
      <c r="N188" s="40">
        <f t="shared" si="5"/>
        <v>0</v>
      </c>
    </row>
    <row r="189" spans="1:14" x14ac:dyDescent="0.25">
      <c r="A189" s="17" t="s">
        <v>322</v>
      </c>
      <c r="B189" s="17" t="s">
        <v>323</v>
      </c>
      <c r="C189" s="70">
        <v>-108075.25</v>
      </c>
      <c r="D189" s="70">
        <v>-828340</v>
      </c>
      <c r="E189" s="70">
        <v>86.95</v>
      </c>
      <c r="F189" s="70">
        <v>13.05</v>
      </c>
      <c r="G189" s="70">
        <v>-720264.75</v>
      </c>
      <c r="H189" s="70">
        <v>-828340</v>
      </c>
      <c r="I189" s="89">
        <v>-600000</v>
      </c>
      <c r="J189" s="102">
        <f>I189*DATAARK!$B$3</f>
        <v>-600000</v>
      </c>
      <c r="K189" s="102">
        <f>J189*DATAARK!$C$3</f>
        <v>-600000</v>
      </c>
      <c r="N189" s="40">
        <f t="shared" si="5"/>
        <v>0</v>
      </c>
    </row>
    <row r="190" spans="1:14" x14ac:dyDescent="0.25">
      <c r="A190" s="17" t="s">
        <v>324</v>
      </c>
      <c r="B190" s="17" t="s">
        <v>325</v>
      </c>
      <c r="I190" s="89"/>
      <c r="J190" s="102">
        <f>I190*DATAARK!$B$3</f>
        <v>0</v>
      </c>
      <c r="K190" s="102">
        <f>J190*DATAARK!$C$3</f>
        <v>0</v>
      </c>
      <c r="N190" s="40">
        <f t="shared" si="5"/>
        <v>0</v>
      </c>
    </row>
    <row r="191" spans="1:14" x14ac:dyDescent="0.25">
      <c r="A191" s="17" t="s">
        <v>326</v>
      </c>
      <c r="B191" s="17" t="s">
        <v>327</v>
      </c>
      <c r="I191" s="89"/>
      <c r="J191" s="102">
        <f>I191*DATAARK!$B$3</f>
        <v>0</v>
      </c>
      <c r="K191" s="102">
        <f>J191*DATAARK!$C$3</f>
        <v>0</v>
      </c>
      <c r="N191" s="40">
        <f t="shared" si="5"/>
        <v>0</v>
      </c>
    </row>
    <row r="192" spans="1:14" x14ac:dyDescent="0.25">
      <c r="A192" s="17" t="s">
        <v>328</v>
      </c>
      <c r="B192" s="17" t="s">
        <v>329</v>
      </c>
      <c r="I192" s="89"/>
      <c r="J192" s="102">
        <f>I192*DATAARK!$B$3</f>
        <v>0</v>
      </c>
      <c r="K192" s="102">
        <f>J192*DATAARK!$C$3</f>
        <v>0</v>
      </c>
      <c r="N192" s="40">
        <f t="shared" si="5"/>
        <v>0</v>
      </c>
    </row>
    <row r="193" spans="1:14" x14ac:dyDescent="0.25">
      <c r="A193" s="17" t="s">
        <v>330</v>
      </c>
      <c r="B193" s="17" t="s">
        <v>331</v>
      </c>
      <c r="C193" s="70">
        <v>-11509.22</v>
      </c>
      <c r="D193" s="70">
        <v>-40000</v>
      </c>
      <c r="E193" s="70">
        <v>71.23</v>
      </c>
      <c r="F193" s="70">
        <v>28.77</v>
      </c>
      <c r="G193" s="70">
        <v>-28490.78</v>
      </c>
      <c r="H193" s="70">
        <v>-40000</v>
      </c>
      <c r="I193" s="89">
        <v>-40000</v>
      </c>
      <c r="J193" s="102">
        <f>I193*DATAARK!$B$3</f>
        <v>-40000</v>
      </c>
      <c r="K193" s="102">
        <f>J193*DATAARK!$C$3</f>
        <v>-40000</v>
      </c>
      <c r="N193" s="40">
        <f t="shared" si="5"/>
        <v>0</v>
      </c>
    </row>
    <row r="194" spans="1:14" x14ac:dyDescent="0.25">
      <c r="A194" s="17" t="s">
        <v>332</v>
      </c>
      <c r="B194" s="17" t="s">
        <v>333</v>
      </c>
      <c r="J194" s="102">
        <f>I194*DATAARK!$B$3</f>
        <v>0</v>
      </c>
      <c r="K194" s="102">
        <f>J194*DATAARK!$C$3</f>
        <v>0</v>
      </c>
      <c r="N194" s="40">
        <f t="shared" si="5"/>
        <v>0</v>
      </c>
    </row>
    <row r="195" spans="1:14" x14ac:dyDescent="0.25">
      <c r="A195" s="17" t="s">
        <v>334</v>
      </c>
      <c r="B195" s="17" t="s">
        <v>335</v>
      </c>
      <c r="J195" s="102">
        <f>I195*DATAARK!$B$3</f>
        <v>0</v>
      </c>
      <c r="K195" s="102">
        <f>J195*DATAARK!$C$3</f>
        <v>0</v>
      </c>
      <c r="N195" s="40">
        <f t="shared" si="5"/>
        <v>0</v>
      </c>
    </row>
    <row r="196" spans="1:14" x14ac:dyDescent="0.25">
      <c r="A196" s="17" t="s">
        <v>336</v>
      </c>
      <c r="B196" s="17" t="s">
        <v>337</v>
      </c>
      <c r="J196" s="102">
        <f>I196*DATAARK!$B$3</f>
        <v>0</v>
      </c>
      <c r="K196" s="102">
        <f>J196*DATAARK!$C$3</f>
        <v>0</v>
      </c>
      <c r="N196" s="40">
        <f t="shared" si="5"/>
        <v>0</v>
      </c>
    </row>
    <row r="197" spans="1:14" x14ac:dyDescent="0.25">
      <c r="A197" s="17" t="s">
        <v>338</v>
      </c>
      <c r="B197" s="17" t="s">
        <v>339</v>
      </c>
      <c r="J197" s="102">
        <f>I197*DATAARK!$B$3</f>
        <v>0</v>
      </c>
      <c r="K197" s="102">
        <f>J197*DATAARK!$C$3</f>
        <v>0</v>
      </c>
      <c r="N197" s="40">
        <f t="shared" si="5"/>
        <v>0</v>
      </c>
    </row>
    <row r="198" spans="1:14" x14ac:dyDescent="0.25">
      <c r="A198" s="18" t="s">
        <v>340</v>
      </c>
      <c r="B198" s="18" t="s">
        <v>341</v>
      </c>
      <c r="C198" s="71">
        <v>-1455443.2</v>
      </c>
      <c r="D198" s="71">
        <v>-3166056.04</v>
      </c>
      <c r="E198" s="71">
        <v>54.03</v>
      </c>
      <c r="F198" s="71">
        <v>45.97</v>
      </c>
      <c r="G198" s="71">
        <v>-1710612.84</v>
      </c>
      <c r="H198" s="71">
        <v>-3896119.6721999999</v>
      </c>
      <c r="I198" s="90">
        <f>SUM(I139:I197)</f>
        <v>-2351026.9292000001</v>
      </c>
      <c r="J198" s="104">
        <f>SUM(J139:J197)</f>
        <v>-3083517.4198500002</v>
      </c>
      <c r="K198" s="90">
        <f>SUM(K139:K197)</f>
        <v>-2739694.92239</v>
      </c>
      <c r="N198" s="40">
        <f t="shared" si="5"/>
        <v>0</v>
      </c>
    </row>
    <row r="199" spans="1:14" x14ac:dyDescent="0.25">
      <c r="A199" s="17" t="s">
        <v>12</v>
      </c>
      <c r="B199" s="17" t="s">
        <v>12</v>
      </c>
      <c r="N199" s="40">
        <f t="shared" si="5"/>
        <v>0</v>
      </c>
    </row>
    <row r="200" spans="1:14" x14ac:dyDescent="0.25">
      <c r="A200" s="18" t="s">
        <v>342</v>
      </c>
      <c r="B200" s="18" t="s">
        <v>343</v>
      </c>
      <c r="C200" s="71"/>
      <c r="D200" s="71"/>
      <c r="E200" s="71"/>
      <c r="F200" s="71"/>
      <c r="G200" s="71"/>
      <c r="H200" s="71"/>
      <c r="I200" s="90"/>
      <c r="J200" s="104"/>
      <c r="K200" s="90"/>
      <c r="N200" s="40">
        <f t="shared" si="5"/>
        <v>0</v>
      </c>
    </row>
    <row r="201" spans="1:14" x14ac:dyDescent="0.25">
      <c r="A201" s="17" t="s">
        <v>344</v>
      </c>
      <c r="B201" s="17" t="s">
        <v>345</v>
      </c>
      <c r="J201" s="102">
        <f>I201*DATAARK!$B$3</f>
        <v>0</v>
      </c>
      <c r="K201" s="102">
        <f>J201*DATAARK!$C$3</f>
        <v>0</v>
      </c>
      <c r="N201" s="40">
        <f t="shared" si="5"/>
        <v>0</v>
      </c>
    </row>
    <row r="202" spans="1:14" x14ac:dyDescent="0.25">
      <c r="A202" s="17" t="s">
        <v>346</v>
      </c>
      <c r="B202" s="17" t="s">
        <v>347</v>
      </c>
      <c r="J202" s="102">
        <f>I202*DATAARK!$B$3</f>
        <v>0</v>
      </c>
      <c r="K202" s="102">
        <f>J202*DATAARK!$C$3</f>
        <v>0</v>
      </c>
      <c r="N202" s="40">
        <f t="shared" si="5"/>
        <v>0</v>
      </c>
    </row>
    <row r="203" spans="1:14" x14ac:dyDescent="0.25">
      <c r="A203" s="17" t="s">
        <v>348</v>
      </c>
      <c r="B203" s="17" t="s">
        <v>349</v>
      </c>
      <c r="J203" s="102">
        <f>I203*DATAARK!$B$3</f>
        <v>0</v>
      </c>
      <c r="K203" s="102">
        <f>J203*DATAARK!$C$3</f>
        <v>0</v>
      </c>
      <c r="N203" s="40">
        <f t="shared" si="5"/>
        <v>0</v>
      </c>
    </row>
    <row r="204" spans="1:14" x14ac:dyDescent="0.25">
      <c r="A204" s="17" t="s">
        <v>350</v>
      </c>
      <c r="B204" s="17" t="s">
        <v>351</v>
      </c>
      <c r="J204" s="102">
        <f>I204*DATAARK!$B$3</f>
        <v>0</v>
      </c>
      <c r="K204" s="102">
        <f>J204*DATAARK!$C$3</f>
        <v>0</v>
      </c>
      <c r="N204" s="40">
        <f t="shared" ref="N204:N245" si="6">IF(J204&gt;0,1,0)</f>
        <v>0</v>
      </c>
    </row>
    <row r="205" spans="1:14" x14ac:dyDescent="0.25">
      <c r="A205" s="17" t="s">
        <v>352</v>
      </c>
      <c r="B205" s="17" t="s">
        <v>353</v>
      </c>
      <c r="J205" s="102">
        <f>I205*DATAARK!$B$3</f>
        <v>0</v>
      </c>
      <c r="K205" s="102">
        <f>J205*DATAARK!$C$3</f>
        <v>0</v>
      </c>
      <c r="N205" s="40">
        <f t="shared" si="6"/>
        <v>0</v>
      </c>
    </row>
    <row r="206" spans="1:14" x14ac:dyDescent="0.25">
      <c r="A206" s="17" t="s">
        <v>354</v>
      </c>
      <c r="B206" s="17" t="s">
        <v>355</v>
      </c>
      <c r="J206" s="102">
        <f>I206*DATAARK!$B$3</f>
        <v>0</v>
      </c>
      <c r="K206" s="102">
        <f>J206*DATAARK!$C$3</f>
        <v>0</v>
      </c>
      <c r="N206" s="40">
        <f t="shared" si="6"/>
        <v>0</v>
      </c>
    </row>
    <row r="207" spans="1:14" x14ac:dyDescent="0.25">
      <c r="A207" s="17" t="s">
        <v>356</v>
      </c>
      <c r="B207" s="17" t="s">
        <v>357</v>
      </c>
      <c r="J207" s="102">
        <f>I207*DATAARK!$B$3</f>
        <v>0</v>
      </c>
      <c r="K207" s="102">
        <f>J207*DATAARK!$C$3</f>
        <v>0</v>
      </c>
      <c r="N207" s="40">
        <f t="shared" si="6"/>
        <v>0</v>
      </c>
    </row>
    <row r="208" spans="1:14" x14ac:dyDescent="0.25">
      <c r="A208" s="17" t="s">
        <v>358</v>
      </c>
      <c r="B208" s="17" t="s">
        <v>359</v>
      </c>
      <c r="J208" s="102">
        <f>I208*DATAARK!$B$3</f>
        <v>0</v>
      </c>
      <c r="K208" s="102">
        <f>J208*DATAARK!$C$3</f>
        <v>0</v>
      </c>
      <c r="N208" s="40">
        <f t="shared" si="6"/>
        <v>0</v>
      </c>
    </row>
    <row r="209" spans="1:14" x14ac:dyDescent="0.25">
      <c r="A209" s="18" t="s">
        <v>360</v>
      </c>
      <c r="B209" s="18" t="s">
        <v>361</v>
      </c>
      <c r="C209" s="71"/>
      <c r="D209" s="71"/>
      <c r="E209" s="71"/>
      <c r="F209" s="71"/>
      <c r="G209" s="71"/>
      <c r="H209" s="71">
        <v>0</v>
      </c>
      <c r="I209" s="90">
        <f>SUM(I201:I208)</f>
        <v>0</v>
      </c>
      <c r="J209" s="104">
        <f>SUM(J201:J208)</f>
        <v>0</v>
      </c>
      <c r="K209" s="90">
        <f>SUM(K201:K208)</f>
        <v>0</v>
      </c>
      <c r="N209" s="40">
        <f t="shared" si="6"/>
        <v>0</v>
      </c>
    </row>
    <row r="210" spans="1:14" x14ac:dyDescent="0.25">
      <c r="A210" s="17" t="s">
        <v>12</v>
      </c>
      <c r="B210" s="17" t="s">
        <v>12</v>
      </c>
      <c r="N210" s="40">
        <f t="shared" si="6"/>
        <v>0</v>
      </c>
    </row>
    <row r="211" spans="1:14" x14ac:dyDescent="0.25">
      <c r="A211" s="18" t="s">
        <v>362</v>
      </c>
      <c r="B211" s="18" t="s">
        <v>40</v>
      </c>
      <c r="C211" s="71"/>
      <c r="D211" s="71"/>
      <c r="E211" s="71"/>
      <c r="F211" s="71"/>
      <c r="G211" s="71"/>
      <c r="H211" s="71"/>
      <c r="I211" s="90"/>
      <c r="J211" s="104"/>
      <c r="K211" s="90"/>
      <c r="N211" s="40">
        <f t="shared" si="6"/>
        <v>0</v>
      </c>
    </row>
    <row r="212" spans="1:14" x14ac:dyDescent="0.25">
      <c r="A212" s="17" t="s">
        <v>363</v>
      </c>
      <c r="B212" s="17" t="s">
        <v>364</v>
      </c>
      <c r="J212" s="102">
        <f>I212*DATAARK!$B$3</f>
        <v>0</v>
      </c>
      <c r="K212" s="102">
        <f>J212*DATAARK!$C$3</f>
        <v>0</v>
      </c>
      <c r="N212" s="40">
        <f t="shared" si="6"/>
        <v>0</v>
      </c>
    </row>
    <row r="213" spans="1:14" x14ac:dyDescent="0.25">
      <c r="A213" s="17" t="s">
        <v>365</v>
      </c>
      <c r="B213" s="17" t="s">
        <v>366</v>
      </c>
      <c r="C213" s="70">
        <v>-113199.39</v>
      </c>
      <c r="D213" s="70">
        <v>-261000</v>
      </c>
      <c r="E213" s="70">
        <v>56.63</v>
      </c>
      <c r="F213" s="70">
        <v>43.37</v>
      </c>
      <c r="G213" s="70">
        <v>-147800.60999999999</v>
      </c>
      <c r="H213" s="70">
        <v>-250000</v>
      </c>
      <c r="I213" s="103">
        <v>-250000</v>
      </c>
      <c r="J213" s="102">
        <f>I213*DATAARK!$B$3</f>
        <v>-250000</v>
      </c>
      <c r="K213" s="102">
        <f>J213*DATAARK!$C$3</f>
        <v>-250000</v>
      </c>
      <c r="N213" s="40">
        <f t="shared" si="6"/>
        <v>0</v>
      </c>
    </row>
    <row r="214" spans="1:14" x14ac:dyDescent="0.25">
      <c r="A214" s="17" t="s">
        <v>367</v>
      </c>
      <c r="B214" s="17" t="s">
        <v>368</v>
      </c>
      <c r="C214" s="70">
        <v>-65</v>
      </c>
      <c r="G214" s="70">
        <v>65</v>
      </c>
      <c r="H214" s="70">
        <v>-65</v>
      </c>
      <c r="J214" s="102">
        <f>I214*DATAARK!$B$3</f>
        <v>0</v>
      </c>
      <c r="K214" s="102">
        <f>J214*DATAARK!$C$3</f>
        <v>0</v>
      </c>
      <c r="N214" s="40">
        <f t="shared" si="6"/>
        <v>0</v>
      </c>
    </row>
    <row r="215" spans="1:14" x14ac:dyDescent="0.25">
      <c r="A215" s="17" t="s">
        <v>369</v>
      </c>
      <c r="B215" s="17" t="s">
        <v>370</v>
      </c>
      <c r="C215" s="70">
        <v>-851.03</v>
      </c>
      <c r="G215" s="70">
        <v>851.03</v>
      </c>
      <c r="H215" s="70">
        <v>-851.03</v>
      </c>
      <c r="J215" s="102">
        <f>I215*DATAARK!$B$3</f>
        <v>0</v>
      </c>
      <c r="K215" s="102">
        <f>J215*DATAARK!$C$3</f>
        <v>0</v>
      </c>
      <c r="N215" s="40">
        <f t="shared" si="6"/>
        <v>0</v>
      </c>
    </row>
    <row r="216" spans="1:14" x14ac:dyDescent="0.25">
      <c r="A216" s="17" t="s">
        <v>371</v>
      </c>
      <c r="B216" s="17" t="s">
        <v>372</v>
      </c>
      <c r="J216" s="102">
        <f>I216*DATAARK!$B$3</f>
        <v>0</v>
      </c>
      <c r="K216" s="102">
        <f>J216*DATAARK!$C$3</f>
        <v>0</v>
      </c>
      <c r="N216" s="40">
        <f t="shared" si="6"/>
        <v>0</v>
      </c>
    </row>
    <row r="217" spans="1:14" x14ac:dyDescent="0.25">
      <c r="A217" s="17" t="s">
        <v>373</v>
      </c>
      <c r="B217" s="17" t="s">
        <v>374</v>
      </c>
      <c r="J217" s="102">
        <f>I217*DATAARK!$B$3</f>
        <v>0</v>
      </c>
      <c r="K217" s="102">
        <f>J217*DATAARK!$C$3</f>
        <v>0</v>
      </c>
      <c r="N217" s="40">
        <f t="shared" si="6"/>
        <v>0</v>
      </c>
    </row>
    <row r="218" spans="1:14" x14ac:dyDescent="0.25">
      <c r="A218" s="17" t="s">
        <v>375</v>
      </c>
      <c r="B218" s="17" t="s">
        <v>376</v>
      </c>
      <c r="J218" s="102">
        <f>I218*DATAARK!$B$3</f>
        <v>0</v>
      </c>
      <c r="K218" s="102">
        <f>J218*DATAARK!$C$3</f>
        <v>0</v>
      </c>
      <c r="N218" s="40">
        <f t="shared" si="6"/>
        <v>0</v>
      </c>
    </row>
    <row r="219" spans="1:14" x14ac:dyDescent="0.25">
      <c r="A219" s="18" t="s">
        <v>377</v>
      </c>
      <c r="B219" s="18" t="s">
        <v>378</v>
      </c>
      <c r="C219" s="71">
        <v>-114115.42</v>
      </c>
      <c r="D219" s="71">
        <v>-261000</v>
      </c>
      <c r="E219" s="71">
        <v>56.28</v>
      </c>
      <c r="F219" s="71">
        <v>43.72</v>
      </c>
      <c r="G219" s="71">
        <v>-146884.57999999999</v>
      </c>
      <c r="H219" s="71">
        <v>-250916.03</v>
      </c>
      <c r="I219" s="90">
        <f>SUM(I212:I218)</f>
        <v>-250000</v>
      </c>
      <c r="J219" s="104">
        <f>SUM(J212:J218)</f>
        <v>-250000</v>
      </c>
      <c r="K219" s="90">
        <f>SUM(K212:K218)</f>
        <v>-250000</v>
      </c>
      <c r="N219" s="40">
        <f t="shared" si="6"/>
        <v>0</v>
      </c>
    </row>
    <row r="220" spans="1:14" x14ac:dyDescent="0.25">
      <c r="A220" s="17" t="s">
        <v>12</v>
      </c>
      <c r="B220" s="17" t="s">
        <v>12</v>
      </c>
      <c r="N220" s="40">
        <f t="shared" si="6"/>
        <v>0</v>
      </c>
    </row>
    <row r="221" spans="1:14" x14ac:dyDescent="0.25">
      <c r="A221" s="18" t="s">
        <v>379</v>
      </c>
      <c r="B221" s="18" t="s">
        <v>380</v>
      </c>
      <c r="C221" s="71"/>
      <c r="D221" s="71"/>
      <c r="E221" s="71"/>
      <c r="F221" s="71"/>
      <c r="G221" s="71"/>
      <c r="H221" s="71"/>
      <c r="I221" s="90"/>
      <c r="J221" s="104"/>
      <c r="K221" s="90"/>
      <c r="N221" s="40">
        <f t="shared" si="6"/>
        <v>0</v>
      </c>
    </row>
    <row r="222" spans="1:14" x14ac:dyDescent="0.25">
      <c r="A222" s="17" t="s">
        <v>381</v>
      </c>
      <c r="B222" s="17" t="s">
        <v>380</v>
      </c>
      <c r="J222" s="102">
        <f>I222*DATAARK!$B$3</f>
        <v>0</v>
      </c>
      <c r="K222" s="102">
        <f>J222*DATAARK!$C$3</f>
        <v>0</v>
      </c>
      <c r="N222" s="40">
        <f t="shared" si="6"/>
        <v>0</v>
      </c>
    </row>
    <row r="223" spans="1:14" x14ac:dyDescent="0.25">
      <c r="A223" s="18" t="s">
        <v>382</v>
      </c>
      <c r="B223" s="18" t="s">
        <v>383</v>
      </c>
      <c r="C223" s="71"/>
      <c r="D223" s="71"/>
      <c r="E223" s="71"/>
      <c r="F223" s="71"/>
      <c r="G223" s="71"/>
      <c r="H223" s="71">
        <v>0</v>
      </c>
      <c r="I223" s="90">
        <f>I222</f>
        <v>0</v>
      </c>
      <c r="J223" s="104">
        <f>SUM(J222)</f>
        <v>0</v>
      </c>
      <c r="K223" s="90">
        <f>SUM(K222)</f>
        <v>0</v>
      </c>
      <c r="N223" s="40">
        <f t="shared" si="6"/>
        <v>0</v>
      </c>
    </row>
    <row r="224" spans="1:14" x14ac:dyDescent="0.25">
      <c r="A224" s="17" t="s">
        <v>12</v>
      </c>
      <c r="B224" s="17" t="s">
        <v>12</v>
      </c>
      <c r="N224" s="40">
        <f t="shared" si="6"/>
        <v>0</v>
      </c>
    </row>
    <row r="225" spans="1:14" x14ac:dyDescent="0.25">
      <c r="A225" s="18" t="s">
        <v>384</v>
      </c>
      <c r="B225" s="18" t="s">
        <v>385</v>
      </c>
      <c r="C225" s="71"/>
      <c r="D225" s="71"/>
      <c r="E225" s="71"/>
      <c r="F225" s="71"/>
      <c r="G225" s="71"/>
      <c r="H225" s="71"/>
      <c r="I225" s="90"/>
      <c r="J225" s="104"/>
      <c r="K225" s="90"/>
      <c r="N225" s="40">
        <f t="shared" si="6"/>
        <v>0</v>
      </c>
    </row>
    <row r="226" spans="1:14" x14ac:dyDescent="0.25">
      <c r="A226" s="17" t="s">
        <v>386</v>
      </c>
      <c r="B226" s="17" t="s">
        <v>385</v>
      </c>
      <c r="J226" s="102">
        <f>I226*DATAARK!$B$3</f>
        <v>0</v>
      </c>
      <c r="K226" s="102">
        <f>J226*DATAARK!$C$3</f>
        <v>0</v>
      </c>
      <c r="N226" s="40">
        <f t="shared" si="6"/>
        <v>0</v>
      </c>
    </row>
    <row r="227" spans="1:14" x14ac:dyDescent="0.25">
      <c r="A227" s="18" t="s">
        <v>387</v>
      </c>
      <c r="B227" s="18" t="s">
        <v>388</v>
      </c>
      <c r="C227" s="71"/>
      <c r="D227" s="71"/>
      <c r="E227" s="71"/>
      <c r="F227" s="71"/>
      <c r="G227" s="71"/>
      <c r="H227" s="71">
        <v>0</v>
      </c>
      <c r="I227" s="90">
        <f>I226</f>
        <v>0</v>
      </c>
      <c r="J227" s="104">
        <f>J226</f>
        <v>0</v>
      </c>
      <c r="K227" s="90">
        <f>K226</f>
        <v>0</v>
      </c>
      <c r="N227" s="40">
        <f t="shared" si="6"/>
        <v>0</v>
      </c>
    </row>
    <row r="228" spans="1:14" x14ac:dyDescent="0.25">
      <c r="A228" s="17" t="s">
        <v>12</v>
      </c>
      <c r="B228" s="17" t="s">
        <v>12</v>
      </c>
      <c r="N228" s="40">
        <f t="shared" si="6"/>
        <v>0</v>
      </c>
    </row>
    <row r="229" spans="1:14" ht="15.75" thickBot="1" x14ac:dyDescent="0.3">
      <c r="A229" s="19" t="s">
        <v>389</v>
      </c>
      <c r="B229" s="19" t="s">
        <v>390</v>
      </c>
      <c r="C229" s="72">
        <v>-1861608.81</v>
      </c>
      <c r="D229" s="72">
        <v>-1305538.25</v>
      </c>
      <c r="E229" s="72">
        <v>-42.59</v>
      </c>
      <c r="F229" s="72">
        <v>142.59</v>
      </c>
      <c r="G229" s="72">
        <v>556070.56000000006</v>
      </c>
      <c r="H229" s="72">
        <v>-2491488.856898597</v>
      </c>
      <c r="I229" s="106">
        <f>I219+I209+I223+I227+I198+I136+I127</f>
        <v>1353962.4861014029</v>
      </c>
      <c r="J229" s="105">
        <f>J227+J223+J219+J209+J198+J136+J127</f>
        <v>120514.03015000094</v>
      </c>
      <c r="K229" s="106">
        <f>K227+K223+K219+K209+K198+K136+K127</f>
        <v>3098911.9276100006</v>
      </c>
      <c r="N229" s="40">
        <f t="shared" si="6"/>
        <v>1</v>
      </c>
    </row>
    <row r="230" spans="1:14" ht="15.75" thickTop="1" x14ac:dyDescent="0.25">
      <c r="A230" s="17" t="s">
        <v>12</v>
      </c>
      <c r="B230" s="17" t="s">
        <v>12</v>
      </c>
      <c r="N230" s="40">
        <f t="shared" si="6"/>
        <v>0</v>
      </c>
    </row>
    <row r="231" spans="1:14" x14ac:dyDescent="0.25">
      <c r="A231" s="18" t="s">
        <v>391</v>
      </c>
      <c r="B231" s="18" t="s">
        <v>392</v>
      </c>
      <c r="C231" s="71"/>
      <c r="D231" s="71"/>
      <c r="E231" s="71"/>
      <c r="F231" s="71"/>
      <c r="G231" s="71"/>
      <c r="H231" s="71"/>
      <c r="I231" s="90"/>
      <c r="J231" s="104"/>
      <c r="K231" s="90"/>
      <c r="N231" s="40">
        <f t="shared" si="6"/>
        <v>0</v>
      </c>
    </row>
    <row r="232" spans="1:14" x14ac:dyDescent="0.25">
      <c r="A232" s="17" t="s">
        <v>393</v>
      </c>
      <c r="B232" s="17" t="s">
        <v>394</v>
      </c>
      <c r="J232" s="102">
        <f>I232*DATAARK!$B$3</f>
        <v>0</v>
      </c>
      <c r="K232" s="102">
        <f>J232*DATAARK!$C$3</f>
        <v>0</v>
      </c>
      <c r="N232" s="40">
        <f t="shared" si="6"/>
        <v>0</v>
      </c>
    </row>
    <row r="233" spans="1:14" x14ac:dyDescent="0.25">
      <c r="A233" s="17" t="s">
        <v>395</v>
      </c>
      <c r="B233" s="17" t="s">
        <v>396</v>
      </c>
      <c r="J233" s="102">
        <f>I233*DATAARK!$B$3</f>
        <v>0</v>
      </c>
      <c r="K233" s="102">
        <f>J233*DATAARK!$C$3</f>
        <v>0</v>
      </c>
      <c r="N233" s="40">
        <f t="shared" si="6"/>
        <v>0</v>
      </c>
    </row>
    <row r="234" spans="1:14" x14ac:dyDescent="0.25">
      <c r="A234" s="17" t="s">
        <v>397</v>
      </c>
      <c r="B234" s="17" t="s">
        <v>398</v>
      </c>
      <c r="J234" s="102">
        <f>I234*DATAARK!$B$3</f>
        <v>0</v>
      </c>
      <c r="K234" s="102">
        <f>J234*DATAARK!$C$3</f>
        <v>0</v>
      </c>
      <c r="N234" s="40">
        <f t="shared" si="6"/>
        <v>0</v>
      </c>
    </row>
    <row r="235" spans="1:14" x14ac:dyDescent="0.25">
      <c r="A235" s="18" t="s">
        <v>399</v>
      </c>
      <c r="B235" s="18" t="s">
        <v>400</v>
      </c>
      <c r="C235" s="71"/>
      <c r="D235" s="71"/>
      <c r="E235" s="71"/>
      <c r="F235" s="71"/>
      <c r="G235" s="71"/>
      <c r="H235" s="71">
        <v>0</v>
      </c>
      <c r="I235" s="90">
        <f>SUM(I232:I234)</f>
        <v>0</v>
      </c>
      <c r="J235" s="104">
        <f>SUM(J232:J234)</f>
        <v>0</v>
      </c>
      <c r="K235" s="90">
        <f>SUM(K232:K234)</f>
        <v>0</v>
      </c>
      <c r="N235" s="40">
        <f t="shared" si="6"/>
        <v>0</v>
      </c>
    </row>
    <row r="236" spans="1:14" x14ac:dyDescent="0.25">
      <c r="A236" s="17" t="s">
        <v>12</v>
      </c>
      <c r="B236" s="17" t="s">
        <v>12</v>
      </c>
      <c r="N236" s="40">
        <f t="shared" si="6"/>
        <v>0</v>
      </c>
    </row>
    <row r="237" spans="1:14" ht="15.75" thickBot="1" x14ac:dyDescent="0.3">
      <c r="A237" s="19" t="s">
        <v>12</v>
      </c>
      <c r="B237" s="19" t="s">
        <v>46</v>
      </c>
      <c r="C237" s="72">
        <v>-1861608.81</v>
      </c>
      <c r="D237" s="72">
        <v>-1305538.25</v>
      </c>
      <c r="E237" s="72">
        <v>-42.59</v>
      </c>
      <c r="F237" s="72">
        <v>142.59</v>
      </c>
      <c r="G237" s="72">
        <v>556070.56000000006</v>
      </c>
      <c r="H237" s="72">
        <v>-2491488.856898597</v>
      </c>
      <c r="I237" s="106">
        <f>I229+I235</f>
        <v>1353962.4861014029</v>
      </c>
      <c r="J237" s="105"/>
      <c r="K237" s="106"/>
      <c r="N237" s="40">
        <f t="shared" si="6"/>
        <v>0</v>
      </c>
    </row>
    <row r="238" spans="1:14" ht="15.75" thickTop="1" x14ac:dyDescent="0.25">
      <c r="A238" s="17" t="s">
        <v>12</v>
      </c>
      <c r="B238" s="17" t="s">
        <v>12</v>
      </c>
      <c r="N238" s="40">
        <f t="shared" si="6"/>
        <v>0</v>
      </c>
    </row>
    <row r="239" spans="1:14" x14ac:dyDescent="0.25">
      <c r="A239" s="17" t="s">
        <v>401</v>
      </c>
      <c r="B239" s="17" t="s">
        <v>402</v>
      </c>
      <c r="J239" s="102">
        <f>I239*DATAARK!$B$3</f>
        <v>0</v>
      </c>
      <c r="K239" s="102">
        <f>J239*DATAARK!$C$3</f>
        <v>0</v>
      </c>
      <c r="N239" s="40">
        <f t="shared" si="6"/>
        <v>0</v>
      </c>
    </row>
    <row r="240" spans="1:14" x14ac:dyDescent="0.25">
      <c r="A240" s="17" t="s">
        <v>403</v>
      </c>
      <c r="B240" s="17" t="s">
        <v>404</v>
      </c>
      <c r="C240" s="70">
        <v>85929.24</v>
      </c>
      <c r="G240" s="70">
        <v>-85929.24</v>
      </c>
      <c r="H240" s="70">
        <v>0</v>
      </c>
      <c r="I240" s="103">
        <f>D240</f>
        <v>0</v>
      </c>
      <c r="J240" s="102">
        <f>I240*DATAARK!$B$3</f>
        <v>0</v>
      </c>
      <c r="K240" s="102">
        <f>J240*DATAARK!$C$3</f>
        <v>0</v>
      </c>
      <c r="N240" s="40">
        <f t="shared" si="6"/>
        <v>0</v>
      </c>
    </row>
    <row r="241" spans="1:14" x14ac:dyDescent="0.25">
      <c r="A241" s="17" t="s">
        <v>405</v>
      </c>
      <c r="B241" s="17" t="s">
        <v>406</v>
      </c>
      <c r="C241" s="70">
        <v>-462116.23</v>
      </c>
      <c r="D241" s="70">
        <v>-747623.86</v>
      </c>
      <c r="E241" s="70">
        <v>38.19</v>
      </c>
      <c r="F241" s="70">
        <v>61.81</v>
      </c>
      <c r="G241" s="70">
        <v>-285507.63</v>
      </c>
      <c r="H241" s="70">
        <v>-924232.57</v>
      </c>
      <c r="I241" s="103">
        <v>-924232.57</v>
      </c>
      <c r="J241" s="102">
        <f>I241*DATAARK!$B$3</f>
        <v>-924232.57</v>
      </c>
      <c r="K241" s="102">
        <f>J241*DATAARK!$C$3</f>
        <v>-924232.57</v>
      </c>
      <c r="N241" s="40">
        <f t="shared" si="6"/>
        <v>0</v>
      </c>
    </row>
    <row r="242" spans="1:14" x14ac:dyDescent="0.25">
      <c r="A242" s="17" t="s">
        <v>407</v>
      </c>
      <c r="B242" s="17" t="s">
        <v>408</v>
      </c>
      <c r="J242" s="102">
        <f>I242*DATAARK!$B$3</f>
        <v>0</v>
      </c>
      <c r="K242" s="102">
        <f>J242*DATAARK!$C$3</f>
        <v>0</v>
      </c>
      <c r="N242" s="40">
        <f t="shared" si="6"/>
        <v>0</v>
      </c>
    </row>
    <row r="243" spans="1:14" x14ac:dyDescent="0.25">
      <c r="A243" s="18" t="s">
        <v>409</v>
      </c>
      <c r="B243" s="18" t="s">
        <v>410</v>
      </c>
      <c r="C243" s="71">
        <v>-376186.99</v>
      </c>
      <c r="D243" s="71">
        <v>-747623.86</v>
      </c>
      <c r="E243" s="71">
        <v>49.68</v>
      </c>
      <c r="F243" s="71">
        <v>50.32</v>
      </c>
      <c r="G243" s="71">
        <v>-371436.87</v>
      </c>
      <c r="H243" s="71">
        <v>-924232.57</v>
      </c>
      <c r="I243" s="90">
        <f>SUM(I239:I242)</f>
        <v>-924232.57</v>
      </c>
      <c r="J243" s="90">
        <f>SUM(J239:J242)</f>
        <v>-924232.57</v>
      </c>
      <c r="K243" s="90">
        <f>SUM(K239:K242)</f>
        <v>-924232.57</v>
      </c>
      <c r="N243" s="40">
        <f t="shared" si="6"/>
        <v>0</v>
      </c>
    </row>
    <row r="244" spans="1:14" x14ac:dyDescent="0.25">
      <c r="A244" s="17" t="s">
        <v>12</v>
      </c>
      <c r="B244" s="17" t="s">
        <v>12</v>
      </c>
      <c r="N244" s="40">
        <f t="shared" si="6"/>
        <v>0</v>
      </c>
    </row>
    <row r="245" spans="1:14" ht="15.75" thickBot="1" x14ac:dyDescent="0.3">
      <c r="A245" s="19" t="s">
        <v>411</v>
      </c>
      <c r="B245" s="19" t="s">
        <v>49</v>
      </c>
      <c r="C245" s="72">
        <v>-2237795.7999999998</v>
      </c>
      <c r="D245" s="72">
        <v>-2053162.11</v>
      </c>
      <c r="E245" s="72">
        <v>-8.99</v>
      </c>
      <c r="F245" s="72">
        <v>108.99</v>
      </c>
      <c r="G245" s="72">
        <v>184633.69</v>
      </c>
      <c r="H245" s="72">
        <v>-3415721.4268985968</v>
      </c>
      <c r="I245" s="106">
        <f>+I237+I243</f>
        <v>429729.91610140295</v>
      </c>
      <c r="J245" s="105">
        <f>J229+J235+J243</f>
        <v>-803718.53984999901</v>
      </c>
      <c r="K245" s="106">
        <f>K229+K235+K243</f>
        <v>2174679.3576100008</v>
      </c>
      <c r="N245" s="40">
        <f t="shared" si="6"/>
        <v>0</v>
      </c>
    </row>
    <row r="246" spans="1:14" ht="15.75" thickTop="1" x14ac:dyDescent="0.25"/>
  </sheetData>
  <conditionalFormatting sqref="N1:N1048576">
    <cfRule type="cellIs" dxfId="47" priority="48" operator="equal">
      <formula>1</formula>
    </cfRule>
  </conditionalFormatting>
  <conditionalFormatting sqref="N130:N136">
    <cfRule type="cellIs" dxfId="46" priority="47" operator="equal">
      <formula>2</formula>
    </cfRule>
  </conditionalFormatting>
  <conditionalFormatting sqref="N121">
    <cfRule type="cellIs" dxfId="45" priority="46" operator="equal">
      <formula>2</formula>
    </cfRule>
  </conditionalFormatting>
  <conditionalFormatting sqref="N120">
    <cfRule type="cellIs" dxfId="44" priority="45" operator="equal">
      <formula>2</formula>
    </cfRule>
  </conditionalFormatting>
  <conditionalFormatting sqref="N119">
    <cfRule type="cellIs" dxfId="43" priority="44" operator="equal">
      <formula>2</formula>
    </cfRule>
  </conditionalFormatting>
  <conditionalFormatting sqref="N118">
    <cfRule type="cellIs" dxfId="42" priority="43" operator="equal">
      <formula>2</formula>
    </cfRule>
  </conditionalFormatting>
  <conditionalFormatting sqref="N117">
    <cfRule type="cellIs" dxfId="41" priority="42" operator="equal">
      <formula>2</formula>
    </cfRule>
  </conditionalFormatting>
  <conditionalFormatting sqref="N116">
    <cfRule type="cellIs" dxfId="40" priority="41" operator="equal">
      <formula>2</formula>
    </cfRule>
  </conditionalFormatting>
  <conditionalFormatting sqref="N115">
    <cfRule type="cellIs" dxfId="39" priority="40" operator="equal">
      <formula>2</formula>
    </cfRule>
  </conditionalFormatting>
  <conditionalFormatting sqref="N116">
    <cfRule type="cellIs" dxfId="38" priority="39" operator="equal">
      <formula>2</formula>
    </cfRule>
  </conditionalFormatting>
  <conditionalFormatting sqref="N117">
    <cfRule type="cellIs" dxfId="37" priority="38" operator="equal">
      <formula>2</formula>
    </cfRule>
  </conditionalFormatting>
  <conditionalFormatting sqref="N118">
    <cfRule type="cellIs" dxfId="36" priority="37" operator="equal">
      <formula>2</formula>
    </cfRule>
  </conditionalFormatting>
  <conditionalFormatting sqref="N119">
    <cfRule type="cellIs" dxfId="35" priority="36" operator="equal">
      <formula>2</formula>
    </cfRule>
  </conditionalFormatting>
  <conditionalFormatting sqref="N120">
    <cfRule type="cellIs" dxfId="34" priority="35" operator="equal">
      <formula>2</formula>
    </cfRule>
  </conditionalFormatting>
  <conditionalFormatting sqref="N121">
    <cfRule type="cellIs" dxfId="33" priority="34" operator="equal">
      <formula>2</formula>
    </cfRule>
  </conditionalFormatting>
  <conditionalFormatting sqref="N116">
    <cfRule type="cellIs" dxfId="32" priority="33" operator="equal">
      <formula>2</formula>
    </cfRule>
  </conditionalFormatting>
  <conditionalFormatting sqref="N117">
    <cfRule type="cellIs" dxfId="31" priority="32" operator="equal">
      <formula>2</formula>
    </cfRule>
  </conditionalFormatting>
  <conditionalFormatting sqref="N118">
    <cfRule type="cellIs" dxfId="30" priority="31" operator="equal">
      <formula>2</formula>
    </cfRule>
  </conditionalFormatting>
  <conditionalFormatting sqref="N119">
    <cfRule type="cellIs" dxfId="29" priority="30" operator="equal">
      <formula>2</formula>
    </cfRule>
  </conditionalFormatting>
  <conditionalFormatting sqref="N120">
    <cfRule type="cellIs" dxfId="28" priority="29" operator="equal">
      <formula>2</formula>
    </cfRule>
  </conditionalFormatting>
  <conditionalFormatting sqref="N121">
    <cfRule type="cellIs" dxfId="27" priority="28" operator="equal">
      <formula>2</formula>
    </cfRule>
  </conditionalFormatting>
  <conditionalFormatting sqref="N130">
    <cfRule type="cellIs" dxfId="26" priority="27" operator="equal">
      <formula>2</formula>
    </cfRule>
  </conditionalFormatting>
  <conditionalFormatting sqref="N131">
    <cfRule type="cellIs" dxfId="25" priority="26" operator="equal">
      <formula>2</formula>
    </cfRule>
  </conditionalFormatting>
  <conditionalFormatting sqref="N132">
    <cfRule type="cellIs" dxfId="24" priority="25" operator="equal">
      <formula>2</formula>
    </cfRule>
  </conditionalFormatting>
  <conditionalFormatting sqref="N133">
    <cfRule type="cellIs" dxfId="23" priority="24" operator="equal">
      <formula>2</formula>
    </cfRule>
  </conditionalFormatting>
  <conditionalFormatting sqref="N134">
    <cfRule type="cellIs" dxfId="22" priority="23" operator="equal">
      <formula>2</formula>
    </cfRule>
  </conditionalFormatting>
  <conditionalFormatting sqref="N135">
    <cfRule type="cellIs" dxfId="21" priority="22" operator="equal">
      <formula>2</formula>
    </cfRule>
  </conditionalFormatting>
  <conditionalFormatting sqref="N136">
    <cfRule type="cellIs" dxfId="20" priority="21" operator="equal">
      <formula>2</formula>
    </cfRule>
  </conditionalFormatting>
  <conditionalFormatting sqref="N59">
    <cfRule type="cellIs" dxfId="19" priority="20" operator="equal">
      <formula>2</formula>
    </cfRule>
  </conditionalFormatting>
  <conditionalFormatting sqref="N58">
    <cfRule type="cellIs" dxfId="18" priority="19" operator="equal">
      <formula>2</formula>
    </cfRule>
  </conditionalFormatting>
  <conditionalFormatting sqref="N57">
    <cfRule type="cellIs" dxfId="17" priority="18" operator="equal">
      <formula>2</formula>
    </cfRule>
  </conditionalFormatting>
  <conditionalFormatting sqref="N56">
    <cfRule type="cellIs" dxfId="16" priority="17" operator="equal">
      <formula>2</formula>
    </cfRule>
  </conditionalFormatting>
  <conditionalFormatting sqref="N55">
    <cfRule type="cellIs" dxfId="15" priority="16" operator="equal">
      <formula>2</formula>
    </cfRule>
  </conditionalFormatting>
  <conditionalFormatting sqref="N54">
    <cfRule type="cellIs" dxfId="14" priority="15" operator="equal">
      <formula>2</formula>
    </cfRule>
  </conditionalFormatting>
  <conditionalFormatting sqref="N53">
    <cfRule type="cellIs" dxfId="13" priority="14" operator="equal">
      <formula>2</formula>
    </cfRule>
  </conditionalFormatting>
  <conditionalFormatting sqref="N52">
    <cfRule type="cellIs" dxfId="12" priority="13" operator="equal">
      <formula>2</formula>
    </cfRule>
  </conditionalFormatting>
  <conditionalFormatting sqref="N51">
    <cfRule type="cellIs" dxfId="11" priority="12" operator="equal">
      <formula>2</formula>
    </cfRule>
  </conditionalFormatting>
  <conditionalFormatting sqref="N50">
    <cfRule type="cellIs" dxfId="10" priority="11" operator="equal">
      <formula>2</formula>
    </cfRule>
  </conditionalFormatting>
  <conditionalFormatting sqref="N49">
    <cfRule type="cellIs" dxfId="9" priority="10" operator="equal">
      <formula>2</formula>
    </cfRule>
  </conditionalFormatting>
  <conditionalFormatting sqref="N48">
    <cfRule type="cellIs" dxfId="8" priority="9" operator="equal">
      <formula>2</formula>
    </cfRule>
  </conditionalFormatting>
  <conditionalFormatting sqref="N44">
    <cfRule type="cellIs" dxfId="7" priority="8" operator="equal">
      <formula>2</formula>
    </cfRule>
  </conditionalFormatting>
  <conditionalFormatting sqref="N45">
    <cfRule type="cellIs" dxfId="6" priority="7" operator="equal">
      <formula>2</formula>
    </cfRule>
  </conditionalFormatting>
  <conditionalFormatting sqref="N40">
    <cfRule type="cellIs" dxfId="5" priority="6" operator="equal">
      <formula>2</formula>
    </cfRule>
  </conditionalFormatting>
  <conditionalFormatting sqref="N41">
    <cfRule type="cellIs" dxfId="4" priority="5" operator="equal">
      <formula>2</formula>
    </cfRule>
  </conditionalFormatting>
  <conditionalFormatting sqref="N42">
    <cfRule type="cellIs" dxfId="3" priority="4" operator="equal">
      <formula>2</formula>
    </cfRule>
  </conditionalFormatting>
  <conditionalFormatting sqref="N43">
    <cfRule type="cellIs" dxfId="2" priority="3" operator="equal">
      <formula>2</formula>
    </cfRule>
  </conditionalFormatting>
  <conditionalFormatting sqref="N44">
    <cfRule type="cellIs" dxfId="1" priority="2" operator="equal">
      <formula>2</formula>
    </cfRule>
  </conditionalFormatting>
  <conditionalFormatting sqref="N62">
    <cfRule type="cellIs" dxfId="0" priority="1" operator="equal">
      <formula>2</formula>
    </cfRule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246"/>
  <sheetViews>
    <sheetView topLeftCell="A175" workbookViewId="0">
      <selection activeCell="K246" sqref="K246"/>
    </sheetView>
  </sheetViews>
  <sheetFormatPr defaultRowHeight="15" x14ac:dyDescent="0.25"/>
  <cols>
    <col min="1" max="1" width="17.7109375" style="92" bestFit="1" customWidth="1"/>
    <col min="2" max="2" width="48.7109375" style="92" bestFit="1" customWidth="1"/>
    <col min="3" max="3" width="13.28515625" style="93" bestFit="1" customWidth="1"/>
    <col min="4" max="4" width="8" style="93" customWidth="1"/>
    <col min="5" max="5" width="10.28515625" style="93" hidden="1" customWidth="1"/>
    <col min="6" max="6" width="19.42578125" style="93" hidden="1" customWidth="1"/>
    <col min="7" max="7" width="14" style="93" hidden="1" customWidth="1"/>
    <col min="8" max="8" width="14" style="93" customWidth="1"/>
    <col min="9" max="9" width="14.28515625" style="102" bestFit="1" customWidth="1"/>
    <col min="10" max="10" width="19.42578125" style="102" bestFit="1" customWidth="1"/>
    <col min="11" max="11" width="18" style="103" bestFit="1" customWidth="1"/>
  </cols>
  <sheetData>
    <row r="1" spans="1:11" x14ac:dyDescent="0.25">
      <c r="A1" s="91" t="s">
        <v>0</v>
      </c>
      <c r="J1" s="103"/>
    </row>
    <row r="2" spans="1:11" x14ac:dyDescent="0.25">
      <c r="A2" s="94" t="s">
        <v>1</v>
      </c>
      <c r="B2" s="94" t="s">
        <v>2</v>
      </c>
      <c r="J2" s="103"/>
    </row>
    <row r="3" spans="1:11" x14ac:dyDescent="0.25">
      <c r="A3" s="94" t="s">
        <v>3</v>
      </c>
      <c r="B3" s="94" t="s">
        <v>4</v>
      </c>
      <c r="J3" s="103"/>
    </row>
    <row r="4" spans="1:11" x14ac:dyDescent="0.25">
      <c r="A4" s="94" t="s">
        <v>412</v>
      </c>
      <c r="B4" s="94" t="s">
        <v>413</v>
      </c>
      <c r="J4" s="103"/>
    </row>
    <row r="5" spans="1:11" x14ac:dyDescent="0.25">
      <c r="J5" s="103"/>
    </row>
    <row r="6" spans="1:11" x14ac:dyDescent="0.25">
      <c r="A6" s="94" t="s">
        <v>5</v>
      </c>
      <c r="B6" s="94" t="s">
        <v>6</v>
      </c>
      <c r="J6" s="103"/>
    </row>
    <row r="7" spans="1:11" x14ac:dyDescent="0.25">
      <c r="J7" s="103"/>
    </row>
    <row r="8" spans="1:11" ht="30" x14ac:dyDescent="0.25">
      <c r="C8" s="95" t="s">
        <v>7</v>
      </c>
      <c r="D8" s="95" t="s">
        <v>8</v>
      </c>
      <c r="E8" s="95" t="s">
        <v>9</v>
      </c>
      <c r="F8" s="95" t="s">
        <v>10</v>
      </c>
      <c r="G8" s="95" t="s">
        <v>11</v>
      </c>
      <c r="H8" s="96" t="s">
        <v>428</v>
      </c>
      <c r="I8" s="118" t="s">
        <v>486</v>
      </c>
      <c r="J8" s="96" t="s">
        <v>472</v>
      </c>
      <c r="K8" s="96" t="s">
        <v>473</v>
      </c>
    </row>
    <row r="9" spans="1:11" x14ac:dyDescent="0.25">
      <c r="A9" s="97" t="s">
        <v>12</v>
      </c>
      <c r="B9" s="97" t="s">
        <v>13</v>
      </c>
      <c r="C9" s="95" t="s">
        <v>478</v>
      </c>
      <c r="D9" s="98">
        <v>2021</v>
      </c>
      <c r="E9" s="98"/>
      <c r="F9" s="98"/>
      <c r="G9" s="98"/>
      <c r="H9" s="99">
        <v>2021</v>
      </c>
      <c r="I9" s="99">
        <v>2021</v>
      </c>
      <c r="J9" s="98">
        <v>2022</v>
      </c>
      <c r="K9" s="99">
        <v>2023</v>
      </c>
    </row>
    <row r="10" spans="1:11" x14ac:dyDescent="0.25">
      <c r="A10" s="94" t="s">
        <v>12</v>
      </c>
      <c r="B10" s="94" t="s">
        <v>12</v>
      </c>
      <c r="I10" s="120"/>
      <c r="J10" s="119"/>
      <c r="K10" s="119"/>
    </row>
    <row r="11" spans="1:11" x14ac:dyDescent="0.25">
      <c r="A11" s="94" t="s">
        <v>14</v>
      </c>
      <c r="B11" s="94" t="s">
        <v>15</v>
      </c>
      <c r="C11" s="93">
        <v>10787119.16</v>
      </c>
      <c r="G11" s="93">
        <v>-10787119.16</v>
      </c>
      <c r="H11" s="93">
        <v>10084132.370000001</v>
      </c>
      <c r="I11" s="120">
        <f>I46</f>
        <v>10084132.370000001</v>
      </c>
      <c r="J11" s="120">
        <f>J46</f>
        <v>2000000</v>
      </c>
      <c r="K11" s="119">
        <f>K46</f>
        <v>0</v>
      </c>
    </row>
    <row r="12" spans="1:11" x14ac:dyDescent="0.25">
      <c r="A12" s="94" t="s">
        <v>16</v>
      </c>
      <c r="B12" s="94" t="s">
        <v>17</v>
      </c>
      <c r="H12" s="93">
        <v>0</v>
      </c>
      <c r="I12" s="120">
        <f>I59</f>
        <v>0</v>
      </c>
      <c r="J12" s="120">
        <f>J59</f>
        <v>0</v>
      </c>
      <c r="K12" s="119">
        <f>K59</f>
        <v>0</v>
      </c>
    </row>
    <row r="13" spans="1:11" x14ac:dyDescent="0.25">
      <c r="A13" s="94" t="s">
        <v>18</v>
      </c>
      <c r="B13" s="94" t="s">
        <v>19</v>
      </c>
      <c r="H13" s="93">
        <v>0</v>
      </c>
      <c r="I13" s="120">
        <f>I63</f>
        <v>0</v>
      </c>
      <c r="J13" s="120">
        <f>J63</f>
        <v>0</v>
      </c>
      <c r="K13" s="119">
        <f>K63</f>
        <v>0</v>
      </c>
    </row>
    <row r="14" spans="1:11" x14ac:dyDescent="0.25">
      <c r="A14" s="97" t="s">
        <v>20</v>
      </c>
      <c r="B14" s="97" t="s">
        <v>21</v>
      </c>
      <c r="C14" s="95">
        <v>10787119.16</v>
      </c>
      <c r="D14" s="95"/>
      <c r="E14" s="95"/>
      <c r="F14" s="95"/>
      <c r="G14" s="95">
        <v>-10787119.16</v>
      </c>
      <c r="H14" s="95">
        <v>10084132.370000001</v>
      </c>
      <c r="I14" s="121">
        <f>SUM(I11:I13)</f>
        <v>10084132.370000001</v>
      </c>
      <c r="J14" s="121">
        <f>SUM(J11:J13)</f>
        <v>2000000</v>
      </c>
      <c r="K14" s="96">
        <f>SUM(K11:K13)</f>
        <v>0</v>
      </c>
    </row>
    <row r="15" spans="1:11" x14ac:dyDescent="0.25">
      <c r="A15" s="94" t="s">
        <v>12</v>
      </c>
      <c r="B15" s="94" t="s">
        <v>12</v>
      </c>
      <c r="I15" s="120"/>
      <c r="J15" s="119"/>
      <c r="K15" s="119"/>
    </row>
    <row r="16" spans="1:11" x14ac:dyDescent="0.25">
      <c r="A16" s="97" t="s">
        <v>12</v>
      </c>
      <c r="B16" s="97" t="s">
        <v>22</v>
      </c>
      <c r="C16" s="95"/>
      <c r="D16" s="95"/>
      <c r="E16" s="95"/>
      <c r="F16" s="95"/>
      <c r="G16" s="95"/>
      <c r="H16" s="95"/>
      <c r="I16" s="121"/>
      <c r="J16" s="121"/>
      <c r="K16" s="96"/>
    </row>
    <row r="17" spans="1:11" x14ac:dyDescent="0.25">
      <c r="A17" s="94" t="s">
        <v>23</v>
      </c>
      <c r="B17" s="94" t="s">
        <v>24</v>
      </c>
      <c r="I17" s="120"/>
      <c r="J17" s="120"/>
      <c r="K17" s="119"/>
    </row>
    <row r="18" spans="1:11" x14ac:dyDescent="0.25">
      <c r="A18" s="94" t="s">
        <v>25</v>
      </c>
      <c r="B18" s="94" t="s">
        <v>26</v>
      </c>
      <c r="H18" s="93">
        <v>0</v>
      </c>
      <c r="I18" s="120">
        <f>I77</f>
        <v>0</v>
      </c>
      <c r="J18" s="120">
        <f>J77</f>
        <v>0</v>
      </c>
      <c r="K18" s="119">
        <f>K77</f>
        <v>0</v>
      </c>
    </row>
    <row r="19" spans="1:11" x14ac:dyDescent="0.25">
      <c r="A19" s="94" t="s">
        <v>27</v>
      </c>
      <c r="B19" s="94" t="s">
        <v>28</v>
      </c>
      <c r="I19" s="120"/>
      <c r="J19" s="120"/>
      <c r="K19" s="119"/>
    </row>
    <row r="20" spans="1:11" x14ac:dyDescent="0.25">
      <c r="A20" s="94" t="s">
        <v>12</v>
      </c>
      <c r="B20" s="94" t="s">
        <v>12</v>
      </c>
      <c r="I20" s="120"/>
      <c r="J20" s="120"/>
      <c r="K20" s="119"/>
    </row>
    <row r="21" spans="1:11" x14ac:dyDescent="0.25">
      <c r="A21" s="94" t="s">
        <v>29</v>
      </c>
      <c r="B21" s="94" t="s">
        <v>30</v>
      </c>
      <c r="H21" s="93">
        <v>0</v>
      </c>
      <c r="I21" s="120">
        <f>I123</f>
        <v>0</v>
      </c>
      <c r="J21" s="120">
        <f>J123</f>
        <v>0</v>
      </c>
      <c r="K21" s="119">
        <f>K123</f>
        <v>0</v>
      </c>
    </row>
    <row r="22" spans="1:11" x14ac:dyDescent="0.25">
      <c r="A22" s="97" t="s">
        <v>31</v>
      </c>
      <c r="B22" s="97" t="s">
        <v>32</v>
      </c>
      <c r="C22" s="95"/>
      <c r="D22" s="95"/>
      <c r="E22" s="95"/>
      <c r="F22" s="95"/>
      <c r="G22" s="95"/>
      <c r="H22" s="95">
        <v>0</v>
      </c>
      <c r="I22" s="121">
        <f>I21</f>
        <v>0</v>
      </c>
      <c r="J22" s="121">
        <f>J21</f>
        <v>0</v>
      </c>
      <c r="K22" s="96">
        <f>K21</f>
        <v>0</v>
      </c>
    </row>
    <row r="23" spans="1:11" x14ac:dyDescent="0.25">
      <c r="A23" s="94" t="s">
        <v>12</v>
      </c>
      <c r="B23" s="94" t="s">
        <v>12</v>
      </c>
      <c r="I23" s="120"/>
      <c r="J23" s="120"/>
      <c r="K23" s="119"/>
    </row>
    <row r="24" spans="1:11" x14ac:dyDescent="0.25">
      <c r="A24" s="94" t="s">
        <v>33</v>
      </c>
      <c r="B24" s="94" t="s">
        <v>34</v>
      </c>
      <c r="H24" s="93">
        <v>0</v>
      </c>
      <c r="I24" s="120">
        <f>I136</f>
        <v>0</v>
      </c>
      <c r="J24" s="120">
        <f>J136</f>
        <v>0</v>
      </c>
      <c r="K24" s="119">
        <f>K136</f>
        <v>0</v>
      </c>
    </row>
    <row r="25" spans="1:11" x14ac:dyDescent="0.25">
      <c r="A25" s="94" t="s">
        <v>35</v>
      </c>
      <c r="B25" s="94" t="s">
        <v>36</v>
      </c>
      <c r="H25" s="93">
        <v>-5370000</v>
      </c>
      <c r="I25" s="120">
        <f>I198</f>
        <v>-4000000</v>
      </c>
      <c r="J25" s="120">
        <f>J198</f>
        <v>-4000000</v>
      </c>
      <c r="K25" s="119">
        <f>K198</f>
        <v>-4000000</v>
      </c>
    </row>
    <row r="26" spans="1:11" x14ac:dyDescent="0.25">
      <c r="A26" s="94" t="s">
        <v>37</v>
      </c>
      <c r="B26" s="94" t="s">
        <v>38</v>
      </c>
      <c r="H26" s="93">
        <v>0</v>
      </c>
      <c r="I26" s="120">
        <f>I209</f>
        <v>0</v>
      </c>
      <c r="J26" s="120">
        <f>J209</f>
        <v>0</v>
      </c>
      <c r="K26" s="119">
        <f>K209</f>
        <v>0</v>
      </c>
    </row>
    <row r="27" spans="1:11" x14ac:dyDescent="0.25">
      <c r="A27" s="94" t="s">
        <v>39</v>
      </c>
      <c r="B27" s="94" t="s">
        <v>40</v>
      </c>
      <c r="H27" s="93">
        <v>0</v>
      </c>
      <c r="I27" s="120">
        <f>I219</f>
        <v>0</v>
      </c>
      <c r="J27" s="120">
        <f>J219</f>
        <v>0</v>
      </c>
      <c r="K27" s="119">
        <f>K219</f>
        <v>0</v>
      </c>
    </row>
    <row r="28" spans="1:11" x14ac:dyDescent="0.25">
      <c r="A28" s="94" t="s">
        <v>41</v>
      </c>
      <c r="B28" s="94" t="s">
        <v>42</v>
      </c>
      <c r="H28" s="93">
        <v>0</v>
      </c>
      <c r="I28" s="120">
        <f>I223</f>
        <v>0</v>
      </c>
      <c r="J28" s="120">
        <f>J223</f>
        <v>0</v>
      </c>
      <c r="K28" s="119">
        <f>K223</f>
        <v>0</v>
      </c>
    </row>
    <row r="29" spans="1:11" x14ac:dyDescent="0.25">
      <c r="A29" s="94" t="s">
        <v>43</v>
      </c>
      <c r="B29" s="94" t="s">
        <v>44</v>
      </c>
      <c r="H29" s="93">
        <v>0</v>
      </c>
      <c r="I29" s="120">
        <f>I227</f>
        <v>0</v>
      </c>
      <c r="J29" s="120">
        <f>J227</f>
        <v>0</v>
      </c>
      <c r="K29" s="119">
        <f>K227</f>
        <v>0</v>
      </c>
    </row>
    <row r="30" spans="1:11" x14ac:dyDescent="0.25">
      <c r="A30" s="94" t="s">
        <v>12</v>
      </c>
      <c r="B30" s="94" t="s">
        <v>12</v>
      </c>
      <c r="I30" s="120"/>
      <c r="J30" s="120"/>
      <c r="K30" s="119"/>
    </row>
    <row r="31" spans="1:11" ht="15.75" thickBot="1" x14ac:dyDescent="0.3">
      <c r="A31" s="100" t="s">
        <v>45</v>
      </c>
      <c r="B31" s="100" t="s">
        <v>46</v>
      </c>
      <c r="C31" s="101">
        <v>10787119.16</v>
      </c>
      <c r="D31" s="101"/>
      <c r="E31" s="101"/>
      <c r="F31" s="101"/>
      <c r="G31" s="101">
        <v>-10787119.16</v>
      </c>
      <c r="H31" s="101">
        <v>4714132.370000001</v>
      </c>
      <c r="I31" s="123">
        <f>I14+I18+I22+I24+I25+I26+I27</f>
        <v>6084132.370000001</v>
      </c>
      <c r="J31" s="123">
        <f>J14+J18+J22+J24+J25+J26+J27</f>
        <v>-2000000</v>
      </c>
      <c r="K31" s="122">
        <f>K14+K18+K22+K24+K25+K26+K27</f>
        <v>-4000000</v>
      </c>
    </row>
    <row r="32" spans="1:11" ht="15.75" thickTop="1" x14ac:dyDescent="0.25">
      <c r="A32" s="94" t="s">
        <v>12</v>
      </c>
      <c r="B32" s="94" t="s">
        <v>12</v>
      </c>
      <c r="I32" s="120"/>
      <c r="J32" s="120"/>
      <c r="K32" s="119"/>
    </row>
    <row r="33" spans="1:11" x14ac:dyDescent="0.25">
      <c r="A33" s="94" t="s">
        <v>47</v>
      </c>
      <c r="B33" s="94" t="s">
        <v>48</v>
      </c>
      <c r="H33" s="93">
        <v>0</v>
      </c>
      <c r="I33" s="120">
        <f>I243</f>
        <v>0</v>
      </c>
      <c r="J33" s="120">
        <f>J243</f>
        <v>0</v>
      </c>
      <c r="K33" s="119">
        <f>K243</f>
        <v>0</v>
      </c>
    </row>
    <row r="34" spans="1:11" x14ac:dyDescent="0.25">
      <c r="A34" s="94" t="s">
        <v>12</v>
      </c>
      <c r="B34" s="94" t="s">
        <v>12</v>
      </c>
      <c r="I34" s="120"/>
      <c r="J34" s="120"/>
      <c r="K34" s="119"/>
    </row>
    <row r="35" spans="1:11" ht="15.75" thickBot="1" x14ac:dyDescent="0.3">
      <c r="A35" s="100" t="s">
        <v>12</v>
      </c>
      <c r="B35" s="100" t="s">
        <v>49</v>
      </c>
      <c r="C35" s="101">
        <v>10787119.16</v>
      </c>
      <c r="D35" s="101"/>
      <c r="E35" s="101"/>
      <c r="F35" s="101"/>
      <c r="G35" s="101">
        <v>-10787119.16</v>
      </c>
      <c r="H35" s="101">
        <v>4714132.370000001</v>
      </c>
      <c r="I35" s="123">
        <f>I31+I33</f>
        <v>6084132.370000001</v>
      </c>
      <c r="J35" s="123">
        <f>J31+J33</f>
        <v>-2000000</v>
      </c>
      <c r="K35" s="122">
        <f>K31+K33</f>
        <v>-4000000</v>
      </c>
    </row>
    <row r="36" spans="1:11" ht="15.75" thickTop="1" x14ac:dyDescent="0.25">
      <c r="A36" s="94" t="s">
        <v>12</v>
      </c>
      <c r="B36" s="94"/>
    </row>
    <row r="37" spans="1:11" x14ac:dyDescent="0.25">
      <c r="A37" s="97" t="s">
        <v>12</v>
      </c>
      <c r="B37" s="97" t="s">
        <v>50</v>
      </c>
      <c r="C37" s="95"/>
      <c r="D37" s="95"/>
      <c r="E37" s="95"/>
      <c r="F37" s="95"/>
      <c r="G37" s="95"/>
      <c r="H37" s="95"/>
      <c r="I37" s="104"/>
      <c r="J37" s="104"/>
      <c r="K37" s="90"/>
    </row>
    <row r="38" spans="1:11" x14ac:dyDescent="0.25">
      <c r="A38" s="94" t="s">
        <v>12</v>
      </c>
      <c r="B38" s="94" t="s">
        <v>12</v>
      </c>
    </row>
    <row r="39" spans="1:11" x14ac:dyDescent="0.25">
      <c r="A39" s="97" t="s">
        <v>51</v>
      </c>
      <c r="B39" s="97" t="s">
        <v>52</v>
      </c>
      <c r="C39" s="95"/>
      <c r="D39" s="95"/>
      <c r="E39" s="95"/>
      <c r="F39" s="95"/>
      <c r="G39" s="95"/>
      <c r="H39" s="95"/>
      <c r="I39" s="104"/>
      <c r="J39" s="104"/>
      <c r="K39" s="90"/>
    </row>
    <row r="40" spans="1:11" x14ac:dyDescent="0.25">
      <c r="A40" s="94" t="s">
        <v>53</v>
      </c>
      <c r="B40" s="94" t="s">
        <v>54</v>
      </c>
      <c r="J40" s="107">
        <f>DATAARK!H8</f>
        <v>0</v>
      </c>
      <c r="K40" s="107">
        <f>DATAARK!H9</f>
        <v>0</v>
      </c>
    </row>
    <row r="41" spans="1:11" x14ac:dyDescent="0.25">
      <c r="A41" s="94" t="s">
        <v>55</v>
      </c>
      <c r="B41" s="94" t="s">
        <v>56</v>
      </c>
    </row>
    <row r="42" spans="1:11" x14ac:dyDescent="0.25">
      <c r="A42" s="94" t="s">
        <v>57</v>
      </c>
      <c r="B42" s="94" t="s">
        <v>58</v>
      </c>
    </row>
    <row r="43" spans="1:11" x14ac:dyDescent="0.25">
      <c r="A43" s="94" t="s">
        <v>59</v>
      </c>
      <c r="B43" s="94" t="s">
        <v>60</v>
      </c>
    </row>
    <row r="44" spans="1:11" x14ac:dyDescent="0.25">
      <c r="A44" s="94" t="s">
        <v>61</v>
      </c>
      <c r="B44" s="94" t="s">
        <v>62</v>
      </c>
      <c r="J44" s="108">
        <f>DATAARK!H10</f>
        <v>0</v>
      </c>
      <c r="K44" s="108">
        <f>DATAARK!H11</f>
        <v>0</v>
      </c>
    </row>
    <row r="45" spans="1:11" x14ac:dyDescent="0.25">
      <c r="A45" s="94" t="s">
        <v>63</v>
      </c>
      <c r="B45" s="94" t="s">
        <v>64</v>
      </c>
      <c r="C45" s="93">
        <v>10787119.16</v>
      </c>
      <c r="G45" s="93">
        <v>-10787119.16</v>
      </c>
      <c r="H45" s="93">
        <v>10084132.370000001</v>
      </c>
      <c r="I45" s="102">
        <f>'Øvrige tilskud'!F8*-1</f>
        <v>10084132.370000001</v>
      </c>
      <c r="J45" s="108">
        <f>DATAARK!H12</f>
        <v>2000000</v>
      </c>
      <c r="K45" s="109">
        <f>DATAARK!H13</f>
        <v>0</v>
      </c>
    </row>
    <row r="46" spans="1:11" x14ac:dyDescent="0.25">
      <c r="A46" s="97" t="s">
        <v>65</v>
      </c>
      <c r="B46" s="97" t="s">
        <v>66</v>
      </c>
      <c r="C46" s="95">
        <v>10787119.16</v>
      </c>
      <c r="D46" s="95"/>
      <c r="E46" s="95"/>
      <c r="F46" s="95"/>
      <c r="G46" s="95">
        <v>-10787119.16</v>
      </c>
      <c r="H46" s="95">
        <v>10084132.370000001</v>
      </c>
      <c r="I46" s="104">
        <f>SUM(I40:I45)</f>
        <v>10084132.370000001</v>
      </c>
      <c r="J46" s="104">
        <f>SUM(J40:J45)</f>
        <v>2000000</v>
      </c>
      <c r="K46" s="90">
        <f>SUM(K40:K45)</f>
        <v>0</v>
      </c>
    </row>
    <row r="47" spans="1:11" x14ac:dyDescent="0.25">
      <c r="A47" s="94" t="s">
        <v>12</v>
      </c>
      <c r="B47" s="94" t="s">
        <v>12</v>
      </c>
    </row>
    <row r="48" spans="1:11" x14ac:dyDescent="0.25">
      <c r="A48" s="97" t="s">
        <v>67</v>
      </c>
      <c r="B48" s="97" t="s">
        <v>68</v>
      </c>
      <c r="C48" s="95"/>
      <c r="D48" s="95"/>
      <c r="E48" s="95"/>
      <c r="F48" s="95"/>
      <c r="G48" s="95"/>
      <c r="H48" s="95"/>
      <c r="I48" s="104"/>
      <c r="J48" s="104"/>
      <c r="K48" s="90"/>
    </row>
    <row r="49" spans="1:11" x14ac:dyDescent="0.25">
      <c r="A49" s="94" t="s">
        <v>69</v>
      </c>
      <c r="B49" s="94" t="s">
        <v>70</v>
      </c>
      <c r="J49" s="102">
        <f>I49*DATAARK!$B$3</f>
        <v>0</v>
      </c>
      <c r="K49" s="102">
        <f>J49*DATAARK!$C$3</f>
        <v>0</v>
      </c>
    </row>
    <row r="50" spans="1:11" x14ac:dyDescent="0.25">
      <c r="A50" s="94" t="s">
        <v>71</v>
      </c>
      <c r="B50" s="94" t="s">
        <v>72</v>
      </c>
      <c r="J50" s="102">
        <f>I50*DATAARK!$B$3</f>
        <v>0</v>
      </c>
      <c r="K50" s="102">
        <f>J50*DATAARK!$C$3</f>
        <v>0</v>
      </c>
    </row>
    <row r="51" spans="1:11" x14ac:dyDescent="0.25">
      <c r="A51" s="94" t="s">
        <v>73</v>
      </c>
      <c r="B51" s="94" t="s">
        <v>74</v>
      </c>
      <c r="J51" s="102">
        <f>I51*DATAARK!$B$3</f>
        <v>0</v>
      </c>
      <c r="K51" s="102">
        <f>J51*DATAARK!$C$3</f>
        <v>0</v>
      </c>
    </row>
    <row r="52" spans="1:11" x14ac:dyDescent="0.25">
      <c r="A52" s="94" t="s">
        <v>75</v>
      </c>
      <c r="B52" s="94" t="s">
        <v>76</v>
      </c>
      <c r="J52" s="102">
        <f>I52*DATAARK!$B$3</f>
        <v>0</v>
      </c>
      <c r="K52" s="102">
        <f>J52*DATAARK!$C$3</f>
        <v>0</v>
      </c>
    </row>
    <row r="53" spans="1:11" x14ac:dyDescent="0.25">
      <c r="A53" s="94" t="s">
        <v>77</v>
      </c>
      <c r="B53" s="94" t="s">
        <v>78</v>
      </c>
      <c r="J53" s="102">
        <f>I53*DATAARK!$B$3</f>
        <v>0</v>
      </c>
      <c r="K53" s="102">
        <f>J53*DATAARK!$C$3</f>
        <v>0</v>
      </c>
    </row>
    <row r="54" spans="1:11" x14ac:dyDescent="0.25">
      <c r="A54" s="94" t="s">
        <v>79</v>
      </c>
      <c r="B54" s="94" t="s">
        <v>80</v>
      </c>
      <c r="J54" s="102">
        <f>I54*DATAARK!$B$3</f>
        <v>0</v>
      </c>
      <c r="K54" s="102">
        <f>J54*DATAARK!$C$3</f>
        <v>0</v>
      </c>
    </row>
    <row r="55" spans="1:11" x14ac:dyDescent="0.25">
      <c r="A55" s="94" t="s">
        <v>81</v>
      </c>
      <c r="B55" s="94" t="s">
        <v>82</v>
      </c>
      <c r="J55" s="102">
        <f>I55*DATAARK!$B$3</f>
        <v>0</v>
      </c>
      <c r="K55" s="102">
        <f>J55*DATAARK!$C$3</f>
        <v>0</v>
      </c>
    </row>
    <row r="56" spans="1:11" x14ac:dyDescent="0.25">
      <c r="A56" s="94" t="s">
        <v>83</v>
      </c>
      <c r="B56" s="94" t="s">
        <v>84</v>
      </c>
      <c r="J56" s="102">
        <f>I56*DATAARK!$B$3</f>
        <v>0</v>
      </c>
      <c r="K56" s="102">
        <f>J56*DATAARK!$C$3</f>
        <v>0</v>
      </c>
    </row>
    <row r="57" spans="1:11" x14ac:dyDescent="0.25">
      <c r="A57" s="94" t="s">
        <v>85</v>
      </c>
      <c r="B57" s="94" t="s">
        <v>86</v>
      </c>
      <c r="J57" s="102">
        <f>I57*DATAARK!$B$3</f>
        <v>0</v>
      </c>
      <c r="K57" s="102">
        <f>J57*DATAARK!$C$3</f>
        <v>0</v>
      </c>
    </row>
    <row r="58" spans="1:11" x14ac:dyDescent="0.25">
      <c r="A58" s="94" t="s">
        <v>87</v>
      </c>
      <c r="B58" s="94" t="s">
        <v>88</v>
      </c>
      <c r="J58" s="102">
        <f>I58*DATAARK!$B$3</f>
        <v>0</v>
      </c>
      <c r="K58" s="102">
        <f>J58*DATAARK!$C$3</f>
        <v>0</v>
      </c>
    </row>
    <row r="59" spans="1:11" x14ac:dyDescent="0.25">
      <c r="A59" s="97" t="s">
        <v>89</v>
      </c>
      <c r="B59" s="97" t="s">
        <v>17</v>
      </c>
      <c r="C59" s="95"/>
      <c r="D59" s="95"/>
      <c r="E59" s="95"/>
      <c r="F59" s="95"/>
      <c r="G59" s="95"/>
      <c r="H59" s="95">
        <v>0</v>
      </c>
      <c r="I59" s="104">
        <f>SUM(I49:I58)</f>
        <v>0</v>
      </c>
      <c r="J59" s="90">
        <f>SUM(J49:J58)</f>
        <v>0</v>
      </c>
      <c r="K59" s="90">
        <f>SUM(K49:K58)</f>
        <v>0</v>
      </c>
    </row>
    <row r="60" spans="1:11" x14ac:dyDescent="0.25">
      <c r="A60" s="94" t="s">
        <v>12</v>
      </c>
      <c r="B60" s="94" t="s">
        <v>12</v>
      </c>
      <c r="J60" s="102">
        <v>0</v>
      </c>
    </row>
    <row r="61" spans="1:11" x14ac:dyDescent="0.25">
      <c r="A61" s="97" t="s">
        <v>90</v>
      </c>
      <c r="B61" s="97" t="s">
        <v>91</v>
      </c>
      <c r="C61" s="95"/>
      <c r="D61" s="95"/>
      <c r="E61" s="95"/>
      <c r="F61" s="95"/>
      <c r="G61" s="95"/>
      <c r="H61" s="95"/>
      <c r="I61" s="104"/>
      <c r="J61" s="102">
        <v>0</v>
      </c>
      <c r="K61" s="90"/>
    </row>
    <row r="62" spans="1:11" x14ac:dyDescent="0.25">
      <c r="A62" s="94" t="s">
        <v>92</v>
      </c>
      <c r="B62" s="94" t="s">
        <v>93</v>
      </c>
      <c r="J62" s="102">
        <f>I62*DATAARK!$B$3</f>
        <v>0</v>
      </c>
      <c r="K62" s="102">
        <f>J62*DATAARK!$C$3</f>
        <v>0</v>
      </c>
    </row>
    <row r="63" spans="1:11" x14ac:dyDescent="0.25">
      <c r="A63" s="97" t="s">
        <v>94</v>
      </c>
      <c r="B63" s="97" t="s">
        <v>95</v>
      </c>
      <c r="C63" s="95"/>
      <c r="D63" s="95"/>
      <c r="E63" s="95"/>
      <c r="F63" s="95"/>
      <c r="G63" s="95"/>
      <c r="H63" s="95">
        <v>0</v>
      </c>
      <c r="I63" s="104">
        <f>I62</f>
        <v>0</v>
      </c>
      <c r="J63" s="90">
        <f>J62</f>
        <v>0</v>
      </c>
      <c r="K63" s="90">
        <f>K62</f>
        <v>0</v>
      </c>
    </row>
    <row r="64" spans="1:11" x14ac:dyDescent="0.25">
      <c r="A64" s="94" t="s">
        <v>12</v>
      </c>
      <c r="B64" s="94" t="s">
        <v>12</v>
      </c>
    </row>
    <row r="65" spans="1:11" x14ac:dyDescent="0.25">
      <c r="A65" s="97" t="s">
        <v>96</v>
      </c>
      <c r="B65" s="97" t="s">
        <v>97</v>
      </c>
      <c r="C65" s="95">
        <v>10787119.16</v>
      </c>
      <c r="D65" s="95"/>
      <c r="E65" s="95"/>
      <c r="F65" s="95"/>
      <c r="G65" s="95">
        <v>-10787119.16</v>
      </c>
      <c r="H65" s="95">
        <v>10084132.370000001</v>
      </c>
      <c r="I65" s="104">
        <f>I63+I59+I46</f>
        <v>10084132.370000001</v>
      </c>
      <c r="J65" s="90">
        <f>J46+J59+J63</f>
        <v>2000000</v>
      </c>
      <c r="K65" s="90">
        <f>K46+K59+K63</f>
        <v>0</v>
      </c>
    </row>
    <row r="66" spans="1:11" x14ac:dyDescent="0.25">
      <c r="A66" s="94" t="s">
        <v>12</v>
      </c>
      <c r="B66" s="94" t="s">
        <v>12</v>
      </c>
    </row>
    <row r="67" spans="1:11" x14ac:dyDescent="0.25">
      <c r="A67" s="97" t="s">
        <v>98</v>
      </c>
      <c r="B67" s="97" t="s">
        <v>99</v>
      </c>
      <c r="C67" s="95"/>
      <c r="D67" s="95"/>
      <c r="E67" s="95"/>
      <c r="F67" s="95"/>
      <c r="G67" s="95"/>
      <c r="H67" s="95"/>
      <c r="I67" s="104"/>
      <c r="J67" s="104"/>
      <c r="K67" s="90"/>
    </row>
    <row r="68" spans="1:11" x14ac:dyDescent="0.25">
      <c r="A68" s="94" t="s">
        <v>100</v>
      </c>
      <c r="B68" s="94" t="s">
        <v>101</v>
      </c>
      <c r="J68" s="102">
        <f>I68*DATAARK!$B$3</f>
        <v>0</v>
      </c>
      <c r="K68" s="102">
        <f>J68*DATAARK!$C$3</f>
        <v>0</v>
      </c>
    </row>
    <row r="69" spans="1:11" x14ac:dyDescent="0.25">
      <c r="A69" s="94" t="s">
        <v>102</v>
      </c>
      <c r="B69" s="94" t="s">
        <v>103</v>
      </c>
      <c r="J69" s="102">
        <f>I69*DATAARK!$B$3</f>
        <v>0</v>
      </c>
      <c r="K69" s="102">
        <f>J69*DATAARK!$C$3</f>
        <v>0</v>
      </c>
    </row>
    <row r="70" spans="1:11" x14ac:dyDescent="0.25">
      <c r="A70" s="97" t="s">
        <v>104</v>
      </c>
      <c r="B70" s="97" t="s">
        <v>105</v>
      </c>
      <c r="C70" s="95"/>
      <c r="D70" s="95"/>
      <c r="E70" s="95"/>
      <c r="F70" s="95"/>
      <c r="G70" s="95"/>
      <c r="H70" s="95"/>
      <c r="I70" s="104"/>
      <c r="J70" s="104"/>
      <c r="K70" s="90"/>
    </row>
    <row r="71" spans="1:11" x14ac:dyDescent="0.25">
      <c r="A71" s="94" t="s">
        <v>12</v>
      </c>
      <c r="B71" s="94" t="s">
        <v>12</v>
      </c>
    </row>
    <row r="72" spans="1:11" x14ac:dyDescent="0.25">
      <c r="A72" s="97" t="s">
        <v>106</v>
      </c>
      <c r="B72" s="97" t="s">
        <v>107</v>
      </c>
      <c r="C72" s="95"/>
      <c r="D72" s="95"/>
      <c r="E72" s="95"/>
      <c r="F72" s="95"/>
      <c r="G72" s="95"/>
      <c r="H72" s="95"/>
      <c r="I72" s="104"/>
      <c r="J72" s="104"/>
      <c r="K72" s="90"/>
    </row>
    <row r="73" spans="1:11" x14ac:dyDescent="0.25">
      <c r="A73" s="94" t="s">
        <v>108</v>
      </c>
      <c r="B73" s="94" t="s">
        <v>109</v>
      </c>
      <c r="J73" s="102">
        <f>I73*DATAARK!$B$3</f>
        <v>0</v>
      </c>
      <c r="K73" s="102">
        <f>J73*DATAARK!$C$3</f>
        <v>0</v>
      </c>
    </row>
    <row r="74" spans="1:11" x14ac:dyDescent="0.25">
      <c r="A74" s="94" t="s">
        <v>110</v>
      </c>
      <c r="B74" s="94" t="s">
        <v>111</v>
      </c>
      <c r="J74" s="102">
        <f>I74*DATAARK!$B$3</f>
        <v>0</v>
      </c>
      <c r="K74" s="102">
        <f>J74*DATAARK!$C$3</f>
        <v>0</v>
      </c>
    </row>
    <row r="75" spans="1:11" x14ac:dyDescent="0.25">
      <c r="A75" s="94" t="s">
        <v>112</v>
      </c>
      <c r="B75" s="94" t="s">
        <v>113</v>
      </c>
      <c r="J75" s="102">
        <f>I75*DATAARK!$B$3</f>
        <v>0</v>
      </c>
      <c r="K75" s="102">
        <f>J75*DATAARK!$C$3</f>
        <v>0</v>
      </c>
    </row>
    <row r="76" spans="1:11" x14ac:dyDescent="0.25">
      <c r="A76" s="94" t="s">
        <v>114</v>
      </c>
      <c r="B76" s="94" t="s">
        <v>115</v>
      </c>
      <c r="J76" s="102">
        <f>I76*DATAARK!$B$3</f>
        <v>0</v>
      </c>
      <c r="K76" s="102">
        <f>J76*DATAARK!$C$3</f>
        <v>0</v>
      </c>
    </row>
    <row r="77" spans="1:11" x14ac:dyDescent="0.25">
      <c r="A77" s="97" t="s">
        <v>116</v>
      </c>
      <c r="B77" s="97" t="s">
        <v>117</v>
      </c>
      <c r="C77" s="95"/>
      <c r="D77" s="95"/>
      <c r="E77" s="95"/>
      <c r="F77" s="95"/>
      <c r="G77" s="95"/>
      <c r="H77" s="95">
        <v>0</v>
      </c>
      <c r="I77" s="104">
        <f>SUM(I73:I76)</f>
        <v>0</v>
      </c>
      <c r="J77" s="104">
        <f>SUM(J73:J76)</f>
        <v>0</v>
      </c>
      <c r="K77" s="90">
        <f>SUM(K73:K76)</f>
        <v>0</v>
      </c>
    </row>
    <row r="78" spans="1:11" x14ac:dyDescent="0.25">
      <c r="A78" s="94" t="s">
        <v>12</v>
      </c>
      <c r="B78" s="94" t="s">
        <v>12</v>
      </c>
    </row>
    <row r="79" spans="1:11" x14ac:dyDescent="0.25">
      <c r="A79" s="97" t="s">
        <v>118</v>
      </c>
      <c r="B79" s="97" t="s">
        <v>119</v>
      </c>
      <c r="C79" s="95"/>
      <c r="D79" s="95"/>
      <c r="E79" s="95"/>
      <c r="F79" s="95"/>
      <c r="G79" s="95"/>
      <c r="H79" s="95"/>
      <c r="I79" s="104"/>
      <c r="J79" s="104"/>
      <c r="K79" s="90"/>
    </row>
    <row r="80" spans="1:11" x14ac:dyDescent="0.25">
      <c r="A80" s="94" t="s">
        <v>120</v>
      </c>
      <c r="B80" s="94" t="s">
        <v>121</v>
      </c>
    </row>
    <row r="81" spans="1:11" x14ac:dyDescent="0.25">
      <c r="A81" s="94" t="s">
        <v>122</v>
      </c>
      <c r="B81" s="94" t="s">
        <v>123</v>
      </c>
    </row>
    <row r="82" spans="1:11" x14ac:dyDescent="0.25">
      <c r="A82" s="97" t="s">
        <v>124</v>
      </c>
      <c r="B82" s="97" t="s">
        <v>125</v>
      </c>
      <c r="C82" s="95"/>
      <c r="D82" s="95"/>
      <c r="E82" s="95"/>
      <c r="F82" s="95"/>
      <c r="G82" s="95"/>
      <c r="H82" s="95">
        <v>0</v>
      </c>
      <c r="I82" s="104">
        <f>I80+I81</f>
        <v>0</v>
      </c>
      <c r="J82" s="104"/>
      <c r="K82" s="90"/>
    </row>
    <row r="83" spans="1:11" x14ac:dyDescent="0.25">
      <c r="A83" s="94" t="s">
        <v>12</v>
      </c>
      <c r="B83" s="94" t="s">
        <v>12</v>
      </c>
    </row>
    <row r="84" spans="1:11" x14ac:dyDescent="0.25">
      <c r="A84" s="97" t="s">
        <v>126</v>
      </c>
      <c r="B84" s="97" t="s">
        <v>30</v>
      </c>
      <c r="C84" s="95"/>
      <c r="D84" s="95"/>
      <c r="E84" s="95"/>
      <c r="F84" s="95"/>
      <c r="G84" s="95"/>
      <c r="H84" s="95"/>
      <c r="I84" s="104"/>
      <c r="J84" s="104"/>
      <c r="K84" s="90"/>
    </row>
    <row r="85" spans="1:11" x14ac:dyDescent="0.25">
      <c r="A85" s="94" t="s">
        <v>127</v>
      </c>
      <c r="B85" s="94" t="s">
        <v>128</v>
      </c>
      <c r="J85" s="102">
        <f>I85*DATAARK!$B$4</f>
        <v>0</v>
      </c>
      <c r="K85" s="102">
        <f>J85*DATAARK!$C$4</f>
        <v>0</v>
      </c>
    </row>
    <row r="86" spans="1:11" x14ac:dyDescent="0.25">
      <c r="A86" s="94" t="s">
        <v>129</v>
      </c>
      <c r="B86" s="94" t="s">
        <v>130</v>
      </c>
      <c r="H86" s="93">
        <v>0</v>
      </c>
      <c r="I86" s="102">
        <v>0</v>
      </c>
      <c r="J86" s="102">
        <f>I86*DATAARK!$B$4</f>
        <v>0</v>
      </c>
      <c r="K86" s="102">
        <f>J86*DATAARK!$C$4</f>
        <v>0</v>
      </c>
    </row>
    <row r="87" spans="1:11" x14ac:dyDescent="0.25">
      <c r="A87" s="94" t="s">
        <v>131</v>
      </c>
      <c r="B87" s="94" t="s">
        <v>132</v>
      </c>
      <c r="J87" s="102">
        <f>I87*DATAARK!$B$4</f>
        <v>0</v>
      </c>
      <c r="K87" s="102">
        <f>J87*DATAARK!$C$4</f>
        <v>0</v>
      </c>
    </row>
    <row r="88" spans="1:11" x14ac:dyDescent="0.25">
      <c r="A88" s="94" t="s">
        <v>133</v>
      </c>
      <c r="B88" s="94" t="s">
        <v>134</v>
      </c>
      <c r="J88" s="102">
        <f>I88*DATAARK!$B$4</f>
        <v>0</v>
      </c>
      <c r="K88" s="102">
        <f>J88*DATAARK!$C$4</f>
        <v>0</v>
      </c>
    </row>
    <row r="89" spans="1:11" x14ac:dyDescent="0.25">
      <c r="A89" s="94" t="s">
        <v>135</v>
      </c>
      <c r="B89" s="94" t="s">
        <v>136</v>
      </c>
      <c r="J89" s="102">
        <f>I89*DATAARK!$B$4</f>
        <v>0</v>
      </c>
      <c r="K89" s="102">
        <f>J89*DATAARK!$C$4</f>
        <v>0</v>
      </c>
    </row>
    <row r="90" spans="1:11" x14ac:dyDescent="0.25">
      <c r="A90" s="94" t="s">
        <v>137</v>
      </c>
      <c r="B90" s="94" t="s">
        <v>138</v>
      </c>
      <c r="J90" s="102">
        <f>I90*DATAARK!$B$4</f>
        <v>0</v>
      </c>
      <c r="K90" s="102">
        <f>J90*DATAARK!$C$4</f>
        <v>0</v>
      </c>
    </row>
    <row r="91" spans="1:11" x14ac:dyDescent="0.25">
      <c r="A91" s="94" t="s">
        <v>139</v>
      </c>
      <c r="B91" s="94" t="s">
        <v>140</v>
      </c>
      <c r="J91" s="102">
        <f>I91*DATAARK!$B$4</f>
        <v>0</v>
      </c>
      <c r="K91" s="102">
        <f>J91*DATAARK!$C$4</f>
        <v>0</v>
      </c>
    </row>
    <row r="92" spans="1:11" x14ac:dyDescent="0.25">
      <c r="A92" s="94" t="s">
        <v>141</v>
      </c>
      <c r="B92" s="94" t="s">
        <v>142</v>
      </c>
      <c r="J92" s="102">
        <f>I92*DATAARK!$B$4</f>
        <v>0</v>
      </c>
      <c r="K92" s="102">
        <f>J92*DATAARK!$C$4</f>
        <v>0</v>
      </c>
    </row>
    <row r="93" spans="1:11" x14ac:dyDescent="0.25">
      <c r="A93" s="94" t="s">
        <v>143</v>
      </c>
      <c r="B93" s="94" t="s">
        <v>144</v>
      </c>
      <c r="J93" s="102">
        <f>I93*DATAARK!$B$4</f>
        <v>0</v>
      </c>
      <c r="K93" s="102">
        <f>J93*DATAARK!$C$4</f>
        <v>0</v>
      </c>
    </row>
    <row r="94" spans="1:11" x14ac:dyDescent="0.25">
      <c r="A94" s="94" t="s">
        <v>145</v>
      </c>
      <c r="B94" s="94" t="s">
        <v>146</v>
      </c>
      <c r="J94" s="102">
        <f>I94*DATAARK!$B$4</f>
        <v>0</v>
      </c>
      <c r="K94" s="102">
        <f>J94*DATAARK!$C$4</f>
        <v>0</v>
      </c>
    </row>
    <row r="95" spans="1:11" x14ac:dyDescent="0.25">
      <c r="A95" s="94" t="s">
        <v>147</v>
      </c>
      <c r="B95" s="94" t="s">
        <v>148</v>
      </c>
      <c r="J95" s="102">
        <f>I95*DATAARK!$B$4</f>
        <v>0</v>
      </c>
      <c r="K95" s="102">
        <f>J95*DATAARK!$C$4</f>
        <v>0</v>
      </c>
    </row>
    <row r="96" spans="1:11" x14ac:dyDescent="0.25">
      <c r="A96" s="94" t="s">
        <v>149</v>
      </c>
      <c r="B96" s="94" t="s">
        <v>150</v>
      </c>
      <c r="J96" s="102">
        <f>I96*DATAARK!$B$4</f>
        <v>0</v>
      </c>
      <c r="K96" s="102">
        <f>J96*DATAARK!$C$4</f>
        <v>0</v>
      </c>
    </row>
    <row r="97" spans="1:11" x14ac:dyDescent="0.25">
      <c r="A97" s="94" t="s">
        <v>151</v>
      </c>
      <c r="B97" s="94" t="s">
        <v>152</v>
      </c>
      <c r="J97" s="102">
        <f>I97*DATAARK!$B$4</f>
        <v>0</v>
      </c>
      <c r="K97" s="102">
        <f>J97*DATAARK!$C$4</f>
        <v>0</v>
      </c>
    </row>
    <row r="98" spans="1:11" x14ac:dyDescent="0.25">
      <c r="A98" s="94" t="s">
        <v>153</v>
      </c>
      <c r="B98" s="94" t="s">
        <v>154</v>
      </c>
      <c r="J98" s="102">
        <f>I98*DATAARK!$B$4</f>
        <v>0</v>
      </c>
      <c r="K98" s="102">
        <f>J98*DATAARK!$C$4</f>
        <v>0</v>
      </c>
    </row>
    <row r="99" spans="1:11" x14ac:dyDescent="0.25">
      <c r="A99" s="94" t="s">
        <v>155</v>
      </c>
      <c r="B99" s="94" t="s">
        <v>156</v>
      </c>
      <c r="J99" s="102">
        <f>I99*DATAARK!$B$4</f>
        <v>0</v>
      </c>
      <c r="K99" s="102">
        <f>J99*DATAARK!$C$4</f>
        <v>0</v>
      </c>
    </row>
    <row r="100" spans="1:11" x14ac:dyDescent="0.25">
      <c r="A100" s="94" t="s">
        <v>157</v>
      </c>
      <c r="B100" s="94" t="s">
        <v>158</v>
      </c>
      <c r="J100" s="102">
        <f>I100*DATAARK!$B$4</f>
        <v>0</v>
      </c>
      <c r="K100" s="102">
        <f>J100*DATAARK!$C$4</f>
        <v>0</v>
      </c>
    </row>
    <row r="101" spans="1:11" x14ac:dyDescent="0.25">
      <c r="A101" s="94" t="s">
        <v>159</v>
      </c>
      <c r="B101" s="94" t="s">
        <v>160</v>
      </c>
      <c r="J101" s="102">
        <f>I101*DATAARK!$B$4</f>
        <v>0</v>
      </c>
      <c r="K101" s="102">
        <f>J101*DATAARK!$C$4</f>
        <v>0</v>
      </c>
    </row>
    <row r="102" spans="1:11" x14ac:dyDescent="0.25">
      <c r="A102" s="94" t="s">
        <v>161</v>
      </c>
      <c r="B102" s="94" t="s">
        <v>162</v>
      </c>
      <c r="J102" s="102">
        <f>I102*DATAARK!$B$4</f>
        <v>0</v>
      </c>
      <c r="K102" s="102">
        <f>J102*DATAARK!$C$4</f>
        <v>0</v>
      </c>
    </row>
    <row r="103" spans="1:11" x14ac:dyDescent="0.25">
      <c r="A103" s="94" t="s">
        <v>163</v>
      </c>
      <c r="B103" s="94" t="s">
        <v>164</v>
      </c>
      <c r="J103" s="102">
        <f>I103*DATAARK!$B$4</f>
        <v>0</v>
      </c>
      <c r="K103" s="102">
        <f>J103*DATAARK!$C$4</f>
        <v>0</v>
      </c>
    </row>
    <row r="104" spans="1:11" x14ac:dyDescent="0.25">
      <c r="A104" s="94" t="s">
        <v>165</v>
      </c>
      <c r="B104" s="94" t="s">
        <v>166</v>
      </c>
      <c r="J104" s="102">
        <f>I104*DATAARK!$B$4</f>
        <v>0</v>
      </c>
      <c r="K104" s="102">
        <f>J104*DATAARK!$C$4</f>
        <v>0</v>
      </c>
    </row>
    <row r="105" spans="1:11" x14ac:dyDescent="0.25">
      <c r="A105" s="94" t="s">
        <v>167</v>
      </c>
      <c r="B105" s="94" t="s">
        <v>168</v>
      </c>
      <c r="J105" s="102">
        <f>I105*DATAARK!$B$4</f>
        <v>0</v>
      </c>
      <c r="K105" s="102">
        <f>J105*DATAARK!$C$4</f>
        <v>0</v>
      </c>
    </row>
    <row r="106" spans="1:11" x14ac:dyDescent="0.25">
      <c r="A106" s="94" t="s">
        <v>169</v>
      </c>
      <c r="B106" s="94" t="s">
        <v>170</v>
      </c>
      <c r="J106" s="102">
        <f>I106*DATAARK!$B$4</f>
        <v>0</v>
      </c>
      <c r="K106" s="102">
        <f>J106*DATAARK!$C$4</f>
        <v>0</v>
      </c>
    </row>
    <row r="107" spans="1:11" x14ac:dyDescent="0.25">
      <c r="A107" s="97" t="s">
        <v>171</v>
      </c>
      <c r="B107" s="97" t="s">
        <v>172</v>
      </c>
      <c r="C107" s="95"/>
      <c r="D107" s="95"/>
      <c r="E107" s="95"/>
      <c r="F107" s="95"/>
      <c r="G107" s="95"/>
      <c r="H107" s="95">
        <v>0</v>
      </c>
      <c r="I107" s="104">
        <f>SUM(I85:I106)</f>
        <v>0</v>
      </c>
      <c r="J107" s="102">
        <f>SUM(J85:J106)</f>
        <v>0</v>
      </c>
      <c r="K107" s="90">
        <f>SUM(K85:K106)</f>
        <v>0</v>
      </c>
    </row>
    <row r="108" spans="1:11" x14ac:dyDescent="0.25">
      <c r="A108" s="94" t="s">
        <v>12</v>
      </c>
      <c r="B108" s="94" t="s">
        <v>12</v>
      </c>
    </row>
    <row r="109" spans="1:11" x14ac:dyDescent="0.25">
      <c r="A109" s="97" t="s">
        <v>173</v>
      </c>
      <c r="B109" s="97" t="s">
        <v>174</v>
      </c>
      <c r="C109" s="95"/>
      <c r="D109" s="95"/>
      <c r="E109" s="95"/>
      <c r="F109" s="95"/>
      <c r="G109" s="95"/>
      <c r="H109" s="95"/>
      <c r="I109" s="104"/>
      <c r="J109" s="104"/>
      <c r="K109" s="90"/>
    </row>
    <row r="110" spans="1:11" x14ac:dyDescent="0.25">
      <c r="A110" s="94" t="s">
        <v>175</v>
      </c>
      <c r="B110" s="94" t="s">
        <v>174</v>
      </c>
      <c r="J110" s="102">
        <f>I110*DATAARK!$B$4</f>
        <v>0</v>
      </c>
      <c r="K110" s="102">
        <f>J110*DATAARK!$C$4</f>
        <v>0</v>
      </c>
    </row>
    <row r="111" spans="1:11" x14ac:dyDescent="0.25">
      <c r="A111" s="94" t="s">
        <v>176</v>
      </c>
      <c r="B111" s="94" t="s">
        <v>177</v>
      </c>
      <c r="J111" s="102">
        <f>I111*DATAARK!$B$4</f>
        <v>0</v>
      </c>
      <c r="K111" s="102">
        <f>J111*DATAARK!$C$4</f>
        <v>0</v>
      </c>
    </row>
    <row r="112" spans="1:11" x14ac:dyDescent="0.25">
      <c r="A112" s="97" t="s">
        <v>178</v>
      </c>
      <c r="B112" s="97" t="s">
        <v>179</v>
      </c>
      <c r="C112" s="95"/>
      <c r="D112" s="95"/>
      <c r="E112" s="95"/>
      <c r="F112" s="95"/>
      <c r="G112" s="95"/>
      <c r="H112" s="95">
        <v>0</v>
      </c>
      <c r="I112" s="104">
        <f>I110+I111</f>
        <v>0</v>
      </c>
      <c r="J112" s="104">
        <f>J110+J111</f>
        <v>0</v>
      </c>
      <c r="K112" s="90">
        <f>K110+K111</f>
        <v>0</v>
      </c>
    </row>
    <row r="113" spans="1:11" x14ac:dyDescent="0.25">
      <c r="A113" s="94" t="s">
        <v>12</v>
      </c>
      <c r="B113" s="94" t="s">
        <v>12</v>
      </c>
    </row>
    <row r="114" spans="1:11" x14ac:dyDescent="0.25">
      <c r="A114" s="97" t="s">
        <v>180</v>
      </c>
      <c r="B114" s="97" t="s">
        <v>181</v>
      </c>
      <c r="C114" s="95"/>
      <c r="D114" s="95"/>
      <c r="E114" s="95"/>
      <c r="F114" s="95"/>
      <c r="G114" s="95"/>
      <c r="H114" s="95"/>
      <c r="I114" s="104"/>
      <c r="K114" s="102"/>
    </row>
    <row r="115" spans="1:11" x14ac:dyDescent="0.25">
      <c r="A115" s="94" t="s">
        <v>182</v>
      </c>
      <c r="B115" s="94" t="s">
        <v>183</v>
      </c>
      <c r="H115" s="93">
        <v>0</v>
      </c>
      <c r="I115" s="102">
        <f>C115*4</f>
        <v>0</v>
      </c>
      <c r="J115" s="102">
        <f>I115*DATAARK!$B$4</f>
        <v>0</v>
      </c>
      <c r="K115" s="102">
        <f>J115*DATAARK!$C$4</f>
        <v>0</v>
      </c>
    </row>
    <row r="116" spans="1:11" x14ac:dyDescent="0.25">
      <c r="A116" s="94" t="s">
        <v>184</v>
      </c>
      <c r="B116" s="94" t="s">
        <v>185</v>
      </c>
      <c r="H116" s="93">
        <v>0</v>
      </c>
      <c r="I116" s="102">
        <f>C116*4</f>
        <v>0</v>
      </c>
      <c r="J116" s="102">
        <f>I116*DATAARK!$B$4</f>
        <v>0</v>
      </c>
      <c r="K116" s="102">
        <f>J116*DATAARK!$C$4</f>
        <v>0</v>
      </c>
    </row>
    <row r="117" spans="1:11" x14ac:dyDescent="0.25">
      <c r="A117" s="94" t="s">
        <v>186</v>
      </c>
      <c r="B117" s="94" t="s">
        <v>187</v>
      </c>
      <c r="J117" s="102">
        <f>I117*DATAARK!$B$4</f>
        <v>0</v>
      </c>
      <c r="K117" s="102">
        <f>J117*DATAARK!$C$4</f>
        <v>0</v>
      </c>
    </row>
    <row r="118" spans="1:11" x14ac:dyDescent="0.25">
      <c r="A118" s="94" t="s">
        <v>188</v>
      </c>
      <c r="B118" s="94" t="s">
        <v>189</v>
      </c>
      <c r="J118" s="102">
        <f>I118*DATAARK!$B$4</f>
        <v>0</v>
      </c>
      <c r="K118" s="102">
        <f>J118*DATAARK!$C$4</f>
        <v>0</v>
      </c>
    </row>
    <row r="119" spans="1:11" x14ac:dyDescent="0.25">
      <c r="A119" s="94" t="s">
        <v>190</v>
      </c>
      <c r="B119" s="94" t="s">
        <v>191</v>
      </c>
      <c r="J119" s="102">
        <f>I119*DATAARK!$B$4</f>
        <v>0</v>
      </c>
      <c r="K119" s="102">
        <f>J119*DATAARK!$C$4</f>
        <v>0</v>
      </c>
    </row>
    <row r="120" spans="1:11" x14ac:dyDescent="0.25">
      <c r="A120" s="94" t="s">
        <v>192</v>
      </c>
      <c r="B120" s="94" t="s">
        <v>193</v>
      </c>
      <c r="J120" s="102">
        <f>I120*DATAARK!$B$4</f>
        <v>0</v>
      </c>
      <c r="K120" s="102">
        <f>J120*DATAARK!$C$4</f>
        <v>0</v>
      </c>
    </row>
    <row r="121" spans="1:11" x14ac:dyDescent="0.25">
      <c r="A121" s="94" t="s">
        <v>194</v>
      </c>
      <c r="B121" s="94" t="s">
        <v>195</v>
      </c>
      <c r="J121" s="102">
        <f>I121*DATAARK!$B$4</f>
        <v>0</v>
      </c>
      <c r="K121" s="102">
        <f>J121*DATAARK!$C$4</f>
        <v>0</v>
      </c>
    </row>
    <row r="122" spans="1:11" x14ac:dyDescent="0.25">
      <c r="A122" s="97" t="s">
        <v>196</v>
      </c>
      <c r="B122" s="97" t="s">
        <v>197</v>
      </c>
      <c r="C122" s="95"/>
      <c r="D122" s="95"/>
      <c r="E122" s="95"/>
      <c r="F122" s="95"/>
      <c r="G122" s="95"/>
      <c r="H122" s="95">
        <v>0</v>
      </c>
      <c r="I122" s="104">
        <f>SUM(I115:I121)</f>
        <v>0</v>
      </c>
      <c r="J122" s="104">
        <f>SUM(J115:J121)</f>
        <v>0</v>
      </c>
      <c r="K122" s="90">
        <f>SUM(K115:K121)</f>
        <v>0</v>
      </c>
    </row>
    <row r="123" spans="1:11" x14ac:dyDescent="0.25">
      <c r="A123" s="97" t="s">
        <v>198</v>
      </c>
      <c r="B123" s="97" t="s">
        <v>199</v>
      </c>
      <c r="C123" s="95"/>
      <c r="D123" s="95"/>
      <c r="E123" s="95"/>
      <c r="F123" s="95"/>
      <c r="G123" s="95"/>
      <c r="H123" s="95">
        <v>0</v>
      </c>
      <c r="I123" s="104">
        <f>I122+I112+I107</f>
        <v>0</v>
      </c>
      <c r="J123" s="104">
        <f>J122+J112+J107</f>
        <v>0</v>
      </c>
      <c r="K123" s="90">
        <f>K122+K112+K107</f>
        <v>0</v>
      </c>
    </row>
    <row r="124" spans="1:11" x14ac:dyDescent="0.25">
      <c r="A124" s="94" t="s">
        <v>12</v>
      </c>
      <c r="B124" s="94" t="s">
        <v>12</v>
      </c>
    </row>
    <row r="125" spans="1:11" x14ac:dyDescent="0.25">
      <c r="A125" s="97" t="s">
        <v>200</v>
      </c>
      <c r="B125" s="97" t="s">
        <v>201</v>
      </c>
      <c r="C125" s="95"/>
      <c r="D125" s="95"/>
      <c r="E125" s="95"/>
      <c r="F125" s="95"/>
      <c r="G125" s="95"/>
      <c r="H125" s="95">
        <v>0</v>
      </c>
      <c r="I125" s="104">
        <f>I123+I82+I77</f>
        <v>0</v>
      </c>
      <c r="J125" s="104">
        <f>J123+J82+J77</f>
        <v>0</v>
      </c>
      <c r="K125" s="90">
        <f>K123+K82+K77</f>
        <v>0</v>
      </c>
    </row>
    <row r="126" spans="1:11" x14ac:dyDescent="0.25">
      <c r="A126" s="94" t="s">
        <v>12</v>
      </c>
      <c r="B126" s="94" t="s">
        <v>12</v>
      </c>
    </row>
    <row r="127" spans="1:11" x14ac:dyDescent="0.25">
      <c r="A127" s="97" t="s">
        <v>202</v>
      </c>
      <c r="B127" s="97" t="s">
        <v>203</v>
      </c>
      <c r="C127" s="95">
        <v>10787119.16</v>
      </c>
      <c r="D127" s="95"/>
      <c r="E127" s="95"/>
      <c r="F127" s="95"/>
      <c r="G127" s="95">
        <v>-10787119.16</v>
      </c>
      <c r="H127" s="95">
        <v>10084132.370000001</v>
      </c>
      <c r="I127" s="104">
        <f>I125+I65</f>
        <v>10084132.370000001</v>
      </c>
      <c r="J127" s="104">
        <f>J125+J65</f>
        <v>2000000</v>
      </c>
      <c r="K127" s="90">
        <f>K125+K65</f>
        <v>0</v>
      </c>
    </row>
    <row r="128" spans="1:11" x14ac:dyDescent="0.25">
      <c r="A128" s="94" t="s">
        <v>12</v>
      </c>
      <c r="B128" s="94" t="s">
        <v>12</v>
      </c>
    </row>
    <row r="129" spans="1:11" x14ac:dyDescent="0.25">
      <c r="A129" s="97" t="s">
        <v>204</v>
      </c>
      <c r="B129" s="97" t="s">
        <v>205</v>
      </c>
      <c r="C129" s="95"/>
      <c r="D129" s="95"/>
      <c r="E129" s="95"/>
      <c r="F129" s="95"/>
      <c r="G129" s="95"/>
      <c r="H129" s="95"/>
      <c r="I129" s="104"/>
      <c r="J129" s="104"/>
      <c r="K129" s="90"/>
    </row>
    <row r="130" spans="1:11" x14ac:dyDescent="0.25">
      <c r="A130" s="94" t="s">
        <v>206</v>
      </c>
      <c r="B130" s="94" t="s">
        <v>207</v>
      </c>
      <c r="J130" s="102">
        <f>I130*DATAARK!$B$3</f>
        <v>0</v>
      </c>
      <c r="K130" s="102">
        <f>J130*DATAARK!$C$3</f>
        <v>0</v>
      </c>
    </row>
    <row r="131" spans="1:11" x14ac:dyDescent="0.25">
      <c r="A131" s="94" t="s">
        <v>208</v>
      </c>
      <c r="B131" s="94" t="s">
        <v>209</v>
      </c>
      <c r="J131" s="102">
        <f>I131*DATAARK!$B$3</f>
        <v>0</v>
      </c>
      <c r="K131" s="102">
        <f>J131*DATAARK!$C$3</f>
        <v>0</v>
      </c>
    </row>
    <row r="132" spans="1:11" x14ac:dyDescent="0.25">
      <c r="A132" s="94" t="s">
        <v>210</v>
      </c>
      <c r="B132" s="94" t="s">
        <v>211</v>
      </c>
      <c r="J132" s="102">
        <f>I132*DATAARK!$B$3</f>
        <v>0</v>
      </c>
      <c r="K132" s="102">
        <f>J132*DATAARK!$C$3</f>
        <v>0</v>
      </c>
    </row>
    <row r="133" spans="1:11" x14ac:dyDescent="0.25">
      <c r="A133" s="94" t="s">
        <v>212</v>
      </c>
      <c r="B133" s="94" t="s">
        <v>213</v>
      </c>
      <c r="J133" s="102">
        <f>I133*DATAARK!$B$3</f>
        <v>0</v>
      </c>
      <c r="K133" s="102">
        <f>J133*DATAARK!$C$3</f>
        <v>0</v>
      </c>
    </row>
    <row r="134" spans="1:11" x14ac:dyDescent="0.25">
      <c r="A134" s="94" t="s">
        <v>214</v>
      </c>
      <c r="B134" s="94" t="s">
        <v>215</v>
      </c>
      <c r="J134" s="102">
        <f>I134*DATAARK!$B$3</f>
        <v>0</v>
      </c>
      <c r="K134" s="102">
        <f>J134*DATAARK!$C$3</f>
        <v>0</v>
      </c>
    </row>
    <row r="135" spans="1:11" x14ac:dyDescent="0.25">
      <c r="A135" s="94" t="s">
        <v>216</v>
      </c>
      <c r="B135" s="94" t="s">
        <v>217</v>
      </c>
      <c r="J135" s="102">
        <f>I135*DATAARK!$B$3</f>
        <v>0</v>
      </c>
      <c r="K135" s="102">
        <f>J135*DATAARK!$C$3</f>
        <v>0</v>
      </c>
    </row>
    <row r="136" spans="1:11" x14ac:dyDescent="0.25">
      <c r="A136" s="97" t="s">
        <v>218</v>
      </c>
      <c r="B136" s="97" t="s">
        <v>219</v>
      </c>
      <c r="C136" s="95"/>
      <c r="D136" s="95"/>
      <c r="E136" s="95"/>
      <c r="F136" s="95"/>
      <c r="G136" s="95"/>
      <c r="H136" s="95">
        <v>0</v>
      </c>
      <c r="I136" s="104">
        <f>SUM(I130:I135)</f>
        <v>0</v>
      </c>
      <c r="J136" s="104">
        <f>SUM(J130:J135)</f>
        <v>0</v>
      </c>
      <c r="K136" s="90">
        <f>SUM(K130:K135)</f>
        <v>0</v>
      </c>
    </row>
    <row r="137" spans="1:11" x14ac:dyDescent="0.25">
      <c r="A137" s="94" t="s">
        <v>12</v>
      </c>
      <c r="B137" s="94" t="s">
        <v>12</v>
      </c>
    </row>
    <row r="138" spans="1:11" x14ac:dyDescent="0.25">
      <c r="A138" s="97" t="s">
        <v>220</v>
      </c>
      <c r="B138" s="97" t="s">
        <v>221</v>
      </c>
      <c r="C138" s="95"/>
      <c r="D138" s="95"/>
      <c r="E138" s="95"/>
      <c r="F138" s="95"/>
      <c r="G138" s="95"/>
      <c r="H138" s="95"/>
      <c r="I138" s="104"/>
      <c r="J138" s="104"/>
      <c r="K138" s="90"/>
    </row>
    <row r="139" spans="1:11" x14ac:dyDescent="0.25">
      <c r="A139" s="94" t="s">
        <v>222</v>
      </c>
      <c r="B139" s="94" t="s">
        <v>223</v>
      </c>
      <c r="H139" s="93">
        <v>-2000000</v>
      </c>
      <c r="I139" s="102">
        <v>-4000000</v>
      </c>
      <c r="J139" s="102">
        <f>I139*DATAARK!$B$3</f>
        <v>-4000000</v>
      </c>
      <c r="K139" s="102">
        <f>J139*DATAARK!$C$3</f>
        <v>-4000000</v>
      </c>
    </row>
    <row r="140" spans="1:11" x14ac:dyDescent="0.25">
      <c r="A140" s="94" t="s">
        <v>224</v>
      </c>
      <c r="B140" s="94" t="s">
        <v>225</v>
      </c>
      <c r="J140" s="102">
        <f>I140*DATAARK!$B$3</f>
        <v>0</v>
      </c>
      <c r="K140" s="102">
        <f>J140*DATAARK!$C$3</f>
        <v>0</v>
      </c>
    </row>
    <row r="141" spans="1:11" x14ac:dyDescent="0.25">
      <c r="A141" s="94" t="s">
        <v>226</v>
      </c>
      <c r="B141" s="94" t="s">
        <v>227</v>
      </c>
      <c r="J141" s="102">
        <f>I141*DATAARK!$B$3</f>
        <v>0</v>
      </c>
      <c r="K141" s="102">
        <f>J141*DATAARK!$C$3</f>
        <v>0</v>
      </c>
    </row>
    <row r="142" spans="1:11" x14ac:dyDescent="0.25">
      <c r="A142" s="94" t="s">
        <v>228</v>
      </c>
      <c r="B142" s="94" t="s">
        <v>229</v>
      </c>
      <c r="J142" s="102">
        <f>I142*DATAARK!$B$3</f>
        <v>0</v>
      </c>
      <c r="K142" s="102">
        <f>J142*DATAARK!$C$3</f>
        <v>0</v>
      </c>
    </row>
    <row r="143" spans="1:11" x14ac:dyDescent="0.25">
      <c r="A143" s="94" t="s">
        <v>230</v>
      </c>
      <c r="B143" s="94" t="s">
        <v>231</v>
      </c>
      <c r="J143" s="102">
        <f>I143*DATAARK!$B$3</f>
        <v>0</v>
      </c>
      <c r="K143" s="102">
        <f>J143*DATAARK!$C$3</f>
        <v>0</v>
      </c>
    </row>
    <row r="144" spans="1:11" x14ac:dyDescent="0.25">
      <c r="A144" s="94" t="s">
        <v>232</v>
      </c>
      <c r="B144" s="94" t="s">
        <v>233</v>
      </c>
      <c r="J144" s="102">
        <f>I144*DATAARK!$B$3</f>
        <v>0</v>
      </c>
      <c r="K144" s="102">
        <f>J144*DATAARK!$C$3</f>
        <v>0</v>
      </c>
    </row>
    <row r="145" spans="1:11" x14ac:dyDescent="0.25">
      <c r="A145" s="94" t="s">
        <v>234</v>
      </c>
      <c r="B145" s="94" t="s">
        <v>235</v>
      </c>
      <c r="J145" s="102">
        <f>I145*DATAARK!$B$3</f>
        <v>0</v>
      </c>
      <c r="K145" s="102">
        <f>J145*DATAARK!$C$3</f>
        <v>0</v>
      </c>
    </row>
    <row r="146" spans="1:11" x14ac:dyDescent="0.25">
      <c r="A146" s="94" t="s">
        <v>236</v>
      </c>
      <c r="B146" s="94" t="s">
        <v>237</v>
      </c>
      <c r="J146" s="102">
        <f>I146*DATAARK!$B$3</f>
        <v>0</v>
      </c>
      <c r="K146" s="102">
        <f>J146*DATAARK!$C$3</f>
        <v>0</v>
      </c>
    </row>
    <row r="147" spans="1:11" x14ac:dyDescent="0.25">
      <c r="A147" s="94" t="s">
        <v>238</v>
      </c>
      <c r="B147" s="94" t="s">
        <v>239</v>
      </c>
      <c r="J147" s="102">
        <f>I147*DATAARK!$B$3</f>
        <v>0</v>
      </c>
      <c r="K147" s="102">
        <f>J147*DATAARK!$C$3</f>
        <v>0</v>
      </c>
    </row>
    <row r="148" spans="1:11" x14ac:dyDescent="0.25">
      <c r="A148" s="94" t="s">
        <v>240</v>
      </c>
      <c r="B148" s="94" t="s">
        <v>241</v>
      </c>
      <c r="J148" s="102">
        <f>I148*DATAARK!$B$3</f>
        <v>0</v>
      </c>
      <c r="K148" s="102">
        <f>J148*DATAARK!$C$3</f>
        <v>0</v>
      </c>
    </row>
    <row r="149" spans="1:11" x14ac:dyDescent="0.25">
      <c r="A149" s="94" t="s">
        <v>242</v>
      </c>
      <c r="B149" s="94" t="s">
        <v>243</v>
      </c>
      <c r="J149" s="102">
        <f>I149*DATAARK!$B$3</f>
        <v>0</v>
      </c>
      <c r="K149" s="102">
        <f>J149*DATAARK!$C$3</f>
        <v>0</v>
      </c>
    </row>
    <row r="150" spans="1:11" x14ac:dyDescent="0.25">
      <c r="A150" s="94" t="s">
        <v>244</v>
      </c>
      <c r="B150" s="94" t="s">
        <v>245</v>
      </c>
      <c r="J150" s="102">
        <f>I150*DATAARK!$B$3</f>
        <v>0</v>
      </c>
      <c r="K150" s="102">
        <f>J150*DATAARK!$C$3</f>
        <v>0</v>
      </c>
    </row>
    <row r="151" spans="1:11" x14ac:dyDescent="0.25">
      <c r="A151" s="94" t="s">
        <v>246</v>
      </c>
      <c r="B151" s="94" t="s">
        <v>247</v>
      </c>
      <c r="H151" s="93">
        <v>-3370000</v>
      </c>
      <c r="J151" s="102">
        <f>I151*DATAARK!$B$3</f>
        <v>0</v>
      </c>
      <c r="K151" s="102">
        <f>J151*DATAARK!$C$3</f>
        <v>0</v>
      </c>
    </row>
    <row r="152" spans="1:11" x14ac:dyDescent="0.25">
      <c r="A152" s="94" t="s">
        <v>248</v>
      </c>
      <c r="B152" s="94" t="s">
        <v>249</v>
      </c>
      <c r="J152" s="102">
        <f>I152*DATAARK!$B$3</f>
        <v>0</v>
      </c>
      <c r="K152" s="102">
        <f>J152*DATAARK!$C$3</f>
        <v>0</v>
      </c>
    </row>
    <row r="153" spans="1:11" x14ac:dyDescent="0.25">
      <c r="A153" s="94" t="s">
        <v>250</v>
      </c>
      <c r="B153" s="94" t="s">
        <v>251</v>
      </c>
      <c r="J153" s="102">
        <f>I153*DATAARK!$B$3</f>
        <v>0</v>
      </c>
      <c r="K153" s="102">
        <f>J153*DATAARK!$C$3</f>
        <v>0</v>
      </c>
    </row>
    <row r="154" spans="1:11" x14ac:dyDescent="0.25">
      <c r="A154" s="94" t="s">
        <v>252</v>
      </c>
      <c r="B154" s="94" t="s">
        <v>253</v>
      </c>
      <c r="J154" s="102">
        <f>I154*DATAARK!$B$3</f>
        <v>0</v>
      </c>
      <c r="K154" s="102">
        <f>J154*DATAARK!$C$3</f>
        <v>0</v>
      </c>
    </row>
    <row r="155" spans="1:11" x14ac:dyDescent="0.25">
      <c r="A155" s="94" t="s">
        <v>254</v>
      </c>
      <c r="B155" s="94" t="s">
        <v>255</v>
      </c>
      <c r="J155" s="102">
        <f>I155*DATAARK!$B$3</f>
        <v>0</v>
      </c>
      <c r="K155" s="102">
        <f>J155*DATAARK!$C$3</f>
        <v>0</v>
      </c>
    </row>
    <row r="156" spans="1:11" x14ac:dyDescent="0.25">
      <c r="A156" s="94" t="s">
        <v>256</v>
      </c>
      <c r="B156" s="94" t="s">
        <v>257</v>
      </c>
      <c r="J156" s="102">
        <f>I156*DATAARK!$B$3</f>
        <v>0</v>
      </c>
      <c r="K156" s="102">
        <f>J156*DATAARK!$C$3</f>
        <v>0</v>
      </c>
    </row>
    <row r="157" spans="1:11" x14ac:dyDescent="0.25">
      <c r="A157" s="94" t="s">
        <v>258</v>
      </c>
      <c r="B157" s="94" t="s">
        <v>259</v>
      </c>
      <c r="J157" s="102">
        <f>I157*DATAARK!$B$3</f>
        <v>0</v>
      </c>
      <c r="K157" s="102">
        <f>J157*DATAARK!$C$3</f>
        <v>0</v>
      </c>
    </row>
    <row r="158" spans="1:11" x14ac:dyDescent="0.25">
      <c r="A158" s="94" t="s">
        <v>260</v>
      </c>
      <c r="B158" s="94" t="s">
        <v>261</v>
      </c>
      <c r="J158" s="102">
        <f>I158*DATAARK!$B$3</f>
        <v>0</v>
      </c>
      <c r="K158" s="102">
        <f>J158*DATAARK!$C$3</f>
        <v>0</v>
      </c>
    </row>
    <row r="159" spans="1:11" x14ac:dyDescent="0.25">
      <c r="A159" s="94" t="s">
        <v>262</v>
      </c>
      <c r="B159" s="94" t="s">
        <v>263</v>
      </c>
      <c r="J159" s="102">
        <f>I159*DATAARK!$B$3</f>
        <v>0</v>
      </c>
      <c r="K159" s="102">
        <f>J159*DATAARK!$C$3</f>
        <v>0</v>
      </c>
    </row>
    <row r="160" spans="1:11" x14ac:dyDescent="0.25">
      <c r="A160" s="94" t="s">
        <v>264</v>
      </c>
      <c r="B160" s="94" t="s">
        <v>265</v>
      </c>
      <c r="J160" s="102">
        <f>I160*DATAARK!$B$3</f>
        <v>0</v>
      </c>
      <c r="K160" s="102">
        <f>J160*DATAARK!$C$3</f>
        <v>0</v>
      </c>
    </row>
    <row r="161" spans="1:11" x14ac:dyDescent="0.25">
      <c r="A161" s="94" t="s">
        <v>266</v>
      </c>
      <c r="B161" s="94" t="s">
        <v>267</v>
      </c>
      <c r="J161" s="102">
        <f>I161*DATAARK!$B$3</f>
        <v>0</v>
      </c>
      <c r="K161" s="102">
        <f>J161*DATAARK!$C$3</f>
        <v>0</v>
      </c>
    </row>
    <row r="162" spans="1:11" x14ac:dyDescent="0.25">
      <c r="A162" s="94" t="s">
        <v>268</v>
      </c>
      <c r="B162" s="94" t="s">
        <v>269</v>
      </c>
      <c r="J162" s="102">
        <f>I162*DATAARK!$B$3</f>
        <v>0</v>
      </c>
      <c r="K162" s="102">
        <f>J162*DATAARK!$C$3</f>
        <v>0</v>
      </c>
    </row>
    <row r="163" spans="1:11" x14ac:dyDescent="0.25">
      <c r="A163" s="94" t="s">
        <v>270</v>
      </c>
      <c r="B163" s="94" t="s">
        <v>271</v>
      </c>
      <c r="J163" s="102">
        <f>I163*DATAARK!$B$3</f>
        <v>0</v>
      </c>
      <c r="K163" s="102">
        <f>J163*DATAARK!$C$3</f>
        <v>0</v>
      </c>
    </row>
    <row r="164" spans="1:11" x14ac:dyDescent="0.25">
      <c r="A164" s="94" t="s">
        <v>272</v>
      </c>
      <c r="B164" s="94" t="s">
        <v>273</v>
      </c>
      <c r="J164" s="102">
        <f>I164*DATAARK!$B$3</f>
        <v>0</v>
      </c>
      <c r="K164" s="102">
        <f>J164*DATAARK!$C$3</f>
        <v>0</v>
      </c>
    </row>
    <row r="165" spans="1:11" x14ac:dyDescent="0.25">
      <c r="A165" s="94" t="s">
        <v>274</v>
      </c>
      <c r="B165" s="94" t="s">
        <v>275</v>
      </c>
      <c r="J165" s="102">
        <f>I165*DATAARK!$B$3</f>
        <v>0</v>
      </c>
      <c r="K165" s="102">
        <f>J165*DATAARK!$C$3</f>
        <v>0</v>
      </c>
    </row>
    <row r="166" spans="1:11" x14ac:dyDescent="0.25">
      <c r="A166" s="94" t="s">
        <v>276</v>
      </c>
      <c r="B166" s="94" t="s">
        <v>277</v>
      </c>
      <c r="J166" s="102">
        <f>I166*DATAARK!$B$3</f>
        <v>0</v>
      </c>
      <c r="K166" s="102">
        <f>J166*DATAARK!$C$3</f>
        <v>0</v>
      </c>
    </row>
    <row r="167" spans="1:11" x14ac:dyDescent="0.25">
      <c r="A167" s="94" t="s">
        <v>278</v>
      </c>
      <c r="B167" s="94" t="s">
        <v>279</v>
      </c>
      <c r="J167" s="102">
        <f>I167*DATAARK!$B$3</f>
        <v>0</v>
      </c>
      <c r="K167" s="102">
        <f>J167*DATAARK!$C$3</f>
        <v>0</v>
      </c>
    </row>
    <row r="168" spans="1:11" x14ac:dyDescent="0.25">
      <c r="A168" s="94" t="s">
        <v>280</v>
      </c>
      <c r="B168" s="94" t="s">
        <v>281</v>
      </c>
      <c r="J168" s="102">
        <f>I168*DATAARK!$B$3</f>
        <v>0</v>
      </c>
      <c r="K168" s="102">
        <f>J168*DATAARK!$C$3</f>
        <v>0</v>
      </c>
    </row>
    <row r="169" spans="1:11" x14ac:dyDescent="0.25">
      <c r="A169" s="94" t="s">
        <v>282</v>
      </c>
      <c r="B169" s="94" t="s">
        <v>283</v>
      </c>
      <c r="J169" s="102">
        <f>I169*DATAARK!$B$3</f>
        <v>0</v>
      </c>
      <c r="K169" s="102">
        <f>J169*DATAARK!$C$3</f>
        <v>0</v>
      </c>
    </row>
    <row r="170" spans="1:11" x14ac:dyDescent="0.25">
      <c r="A170" s="94" t="s">
        <v>284</v>
      </c>
      <c r="B170" s="94" t="s">
        <v>285</v>
      </c>
      <c r="J170" s="102">
        <f>I170*DATAARK!$B$3</f>
        <v>0</v>
      </c>
      <c r="K170" s="102">
        <f>J170*DATAARK!$C$3</f>
        <v>0</v>
      </c>
    </row>
    <row r="171" spans="1:11" x14ac:dyDescent="0.25">
      <c r="A171" s="94" t="s">
        <v>286</v>
      </c>
      <c r="B171" s="94" t="s">
        <v>287</v>
      </c>
      <c r="J171" s="102">
        <f>I171*DATAARK!$B$3</f>
        <v>0</v>
      </c>
      <c r="K171" s="102">
        <f>J171*DATAARK!$C$3</f>
        <v>0</v>
      </c>
    </row>
    <row r="172" spans="1:11" x14ac:dyDescent="0.25">
      <c r="A172" s="94" t="s">
        <v>288</v>
      </c>
      <c r="B172" s="94" t="s">
        <v>289</v>
      </c>
      <c r="J172" s="102">
        <f>I172*DATAARK!$B$3</f>
        <v>0</v>
      </c>
      <c r="K172" s="102">
        <f>J172*DATAARK!$C$3</f>
        <v>0</v>
      </c>
    </row>
    <row r="173" spans="1:11" x14ac:dyDescent="0.25">
      <c r="A173" s="94" t="s">
        <v>290</v>
      </c>
      <c r="B173" s="94" t="s">
        <v>291</v>
      </c>
      <c r="J173" s="102">
        <f>I173*DATAARK!$B$3</f>
        <v>0</v>
      </c>
      <c r="K173" s="102">
        <f>J173*DATAARK!$C$3</f>
        <v>0</v>
      </c>
    </row>
    <row r="174" spans="1:11" x14ac:dyDescent="0.25">
      <c r="A174" s="94" t="s">
        <v>292</v>
      </c>
      <c r="B174" s="94" t="s">
        <v>293</v>
      </c>
      <c r="J174" s="102">
        <f>I174*DATAARK!$B$3</f>
        <v>0</v>
      </c>
      <c r="K174" s="102">
        <f>J174*DATAARK!$C$3</f>
        <v>0</v>
      </c>
    </row>
    <row r="175" spans="1:11" x14ac:dyDescent="0.25">
      <c r="A175" s="94" t="s">
        <v>294</v>
      </c>
      <c r="B175" s="94" t="s">
        <v>295</v>
      </c>
      <c r="J175" s="102">
        <f>I175*DATAARK!$B$3</f>
        <v>0</v>
      </c>
      <c r="K175" s="102">
        <f>J175*DATAARK!$C$3</f>
        <v>0</v>
      </c>
    </row>
    <row r="176" spans="1:11" x14ac:dyDescent="0.25">
      <c r="A176" s="94" t="s">
        <v>296</v>
      </c>
      <c r="B176" s="94" t="s">
        <v>297</v>
      </c>
      <c r="J176" s="102">
        <f>I176*DATAARK!$B$3</f>
        <v>0</v>
      </c>
      <c r="K176" s="102">
        <f>J176*DATAARK!$C$3</f>
        <v>0</v>
      </c>
    </row>
    <row r="177" spans="1:11" x14ac:dyDescent="0.25">
      <c r="A177" s="94" t="s">
        <v>298</v>
      </c>
      <c r="B177" s="94" t="s">
        <v>299</v>
      </c>
      <c r="J177" s="102">
        <f>I177*DATAARK!$B$3</f>
        <v>0</v>
      </c>
      <c r="K177" s="102">
        <f>J177*DATAARK!$C$3</f>
        <v>0</v>
      </c>
    </row>
    <row r="178" spans="1:11" x14ac:dyDescent="0.25">
      <c r="A178" s="94" t="s">
        <v>300</v>
      </c>
      <c r="B178" s="94" t="s">
        <v>301</v>
      </c>
      <c r="J178" s="102">
        <f>I178*DATAARK!$B$3</f>
        <v>0</v>
      </c>
      <c r="K178" s="102">
        <f>J178*DATAARK!$C$3</f>
        <v>0</v>
      </c>
    </row>
    <row r="179" spans="1:11" x14ac:dyDescent="0.25">
      <c r="A179" s="94" t="s">
        <v>302</v>
      </c>
      <c r="B179" s="94" t="s">
        <v>303</v>
      </c>
      <c r="J179" s="102">
        <f>I179*DATAARK!$B$3</f>
        <v>0</v>
      </c>
      <c r="K179" s="102">
        <f>J179*DATAARK!$C$3</f>
        <v>0</v>
      </c>
    </row>
    <row r="180" spans="1:11" x14ac:dyDescent="0.25">
      <c r="A180" s="94" t="s">
        <v>304</v>
      </c>
      <c r="B180" s="94" t="s">
        <v>305</v>
      </c>
      <c r="J180" s="102">
        <f>I180*DATAARK!$B$3</f>
        <v>0</v>
      </c>
      <c r="K180" s="102">
        <f>J180*DATAARK!$C$3</f>
        <v>0</v>
      </c>
    </row>
    <row r="181" spans="1:11" x14ac:dyDescent="0.25">
      <c r="A181" s="94" t="s">
        <v>306</v>
      </c>
      <c r="B181" s="94" t="s">
        <v>307</v>
      </c>
      <c r="J181" s="102">
        <f>I181*DATAARK!$B$3</f>
        <v>0</v>
      </c>
      <c r="K181" s="102">
        <f>J181*DATAARK!$C$3</f>
        <v>0</v>
      </c>
    </row>
    <row r="182" spans="1:11" x14ac:dyDescent="0.25">
      <c r="A182" s="94" t="s">
        <v>308</v>
      </c>
      <c r="B182" s="94" t="s">
        <v>309</v>
      </c>
      <c r="J182" s="102">
        <f>I182*DATAARK!$B$3</f>
        <v>0</v>
      </c>
      <c r="K182" s="102">
        <f>J182*DATAARK!$C$3</f>
        <v>0</v>
      </c>
    </row>
    <row r="183" spans="1:11" x14ac:dyDescent="0.25">
      <c r="A183" s="94" t="s">
        <v>310</v>
      </c>
      <c r="B183" s="94" t="s">
        <v>311</v>
      </c>
      <c r="J183" s="102">
        <f>I183*DATAARK!$B$3</f>
        <v>0</v>
      </c>
      <c r="K183" s="102">
        <f>J183*DATAARK!$C$3</f>
        <v>0</v>
      </c>
    </row>
    <row r="184" spans="1:11" x14ac:dyDescent="0.25">
      <c r="A184" s="94" t="s">
        <v>312</v>
      </c>
      <c r="B184" s="94" t="s">
        <v>313</v>
      </c>
      <c r="J184" s="102">
        <f>I184*DATAARK!$B$3</f>
        <v>0</v>
      </c>
      <c r="K184" s="102">
        <f>J184*DATAARK!$C$3</f>
        <v>0</v>
      </c>
    </row>
    <row r="185" spans="1:11" x14ac:dyDescent="0.25">
      <c r="A185" s="94" t="s">
        <v>314</v>
      </c>
      <c r="B185" s="94" t="s">
        <v>315</v>
      </c>
      <c r="J185" s="102">
        <f>I185*DATAARK!$B$3</f>
        <v>0</v>
      </c>
      <c r="K185" s="102">
        <f>J185*DATAARK!$C$3</f>
        <v>0</v>
      </c>
    </row>
    <row r="186" spans="1:11" x14ac:dyDescent="0.25">
      <c r="A186" s="94" t="s">
        <v>316</v>
      </c>
      <c r="B186" s="94" t="s">
        <v>317</v>
      </c>
      <c r="J186" s="102">
        <f>I186*DATAARK!$B$3</f>
        <v>0</v>
      </c>
      <c r="K186" s="102">
        <f>J186*DATAARK!$C$3</f>
        <v>0</v>
      </c>
    </row>
    <row r="187" spans="1:11" x14ac:dyDescent="0.25">
      <c r="A187" s="94" t="s">
        <v>318</v>
      </c>
      <c r="B187" s="94" t="s">
        <v>319</v>
      </c>
      <c r="J187" s="102">
        <f>I187*DATAARK!$B$3</f>
        <v>0</v>
      </c>
      <c r="K187" s="102">
        <f>J187*DATAARK!$C$3</f>
        <v>0</v>
      </c>
    </row>
    <row r="188" spans="1:11" x14ac:dyDescent="0.25">
      <c r="A188" s="94" t="s">
        <v>320</v>
      </c>
      <c r="B188" s="94" t="s">
        <v>321</v>
      </c>
      <c r="J188" s="102">
        <f>I188*DATAARK!$B$3</f>
        <v>0</v>
      </c>
      <c r="K188" s="102">
        <f>J188*DATAARK!$C$3</f>
        <v>0</v>
      </c>
    </row>
    <row r="189" spans="1:11" x14ac:dyDescent="0.25">
      <c r="A189" s="94" t="s">
        <v>322</v>
      </c>
      <c r="B189" s="94" t="s">
        <v>323</v>
      </c>
      <c r="J189" s="102">
        <f>I189*DATAARK!$B$3</f>
        <v>0</v>
      </c>
      <c r="K189" s="102">
        <f>J189*DATAARK!$C$3</f>
        <v>0</v>
      </c>
    </row>
    <row r="190" spans="1:11" x14ac:dyDescent="0.25">
      <c r="A190" s="94" t="s">
        <v>324</v>
      </c>
      <c r="B190" s="94" t="s">
        <v>325</v>
      </c>
      <c r="J190" s="102">
        <f>I190*DATAARK!$B$3</f>
        <v>0</v>
      </c>
      <c r="K190" s="102">
        <f>J190*DATAARK!$C$3</f>
        <v>0</v>
      </c>
    </row>
    <row r="191" spans="1:11" x14ac:dyDescent="0.25">
      <c r="A191" s="94" t="s">
        <v>326</v>
      </c>
      <c r="B191" s="94" t="s">
        <v>327</v>
      </c>
      <c r="J191" s="102">
        <f>I191*DATAARK!$B$3</f>
        <v>0</v>
      </c>
      <c r="K191" s="102">
        <f>J191*DATAARK!$C$3</f>
        <v>0</v>
      </c>
    </row>
    <row r="192" spans="1:11" x14ac:dyDescent="0.25">
      <c r="A192" s="94" t="s">
        <v>328</v>
      </c>
      <c r="B192" s="94" t="s">
        <v>329</v>
      </c>
      <c r="J192" s="102">
        <f>I192*DATAARK!$B$3</f>
        <v>0</v>
      </c>
      <c r="K192" s="102">
        <f>J192*DATAARK!$C$3</f>
        <v>0</v>
      </c>
    </row>
    <row r="193" spans="1:11" x14ac:dyDescent="0.25">
      <c r="A193" s="94" t="s">
        <v>330</v>
      </c>
      <c r="B193" s="94" t="s">
        <v>331</v>
      </c>
      <c r="J193" s="102">
        <f>I193*DATAARK!$B$3</f>
        <v>0</v>
      </c>
      <c r="K193" s="102">
        <f>J193*DATAARK!$C$3</f>
        <v>0</v>
      </c>
    </row>
    <row r="194" spans="1:11" x14ac:dyDescent="0.25">
      <c r="A194" s="94" t="s">
        <v>332</v>
      </c>
      <c r="B194" s="94" t="s">
        <v>333</v>
      </c>
      <c r="J194" s="102">
        <f>I194*DATAARK!$B$3</f>
        <v>0</v>
      </c>
      <c r="K194" s="102">
        <f>J194*DATAARK!$C$3</f>
        <v>0</v>
      </c>
    </row>
    <row r="195" spans="1:11" x14ac:dyDescent="0.25">
      <c r="A195" s="94" t="s">
        <v>334</v>
      </c>
      <c r="B195" s="94" t="s">
        <v>335</v>
      </c>
      <c r="J195" s="102">
        <f>I195*DATAARK!$B$3</f>
        <v>0</v>
      </c>
      <c r="K195" s="102">
        <f>J195*DATAARK!$C$3</f>
        <v>0</v>
      </c>
    </row>
    <row r="196" spans="1:11" x14ac:dyDescent="0.25">
      <c r="A196" s="94" t="s">
        <v>336</v>
      </c>
      <c r="B196" s="94" t="s">
        <v>337</v>
      </c>
      <c r="J196" s="102">
        <f>I196*DATAARK!$B$3</f>
        <v>0</v>
      </c>
      <c r="K196" s="102">
        <f>J196*DATAARK!$C$3</f>
        <v>0</v>
      </c>
    </row>
    <row r="197" spans="1:11" x14ac:dyDescent="0.25">
      <c r="A197" s="94" t="s">
        <v>338</v>
      </c>
      <c r="B197" s="94" t="s">
        <v>339</v>
      </c>
      <c r="J197" s="102">
        <f>I197*DATAARK!$B$3</f>
        <v>0</v>
      </c>
      <c r="K197" s="102">
        <f>J197*DATAARK!$C$3</f>
        <v>0</v>
      </c>
    </row>
    <row r="198" spans="1:11" x14ac:dyDescent="0.25">
      <c r="A198" s="97" t="s">
        <v>340</v>
      </c>
      <c r="B198" s="97" t="s">
        <v>341</v>
      </c>
      <c r="C198" s="95"/>
      <c r="D198" s="95"/>
      <c r="E198" s="95"/>
      <c r="F198" s="95"/>
      <c r="G198" s="95"/>
      <c r="H198" s="95">
        <v>-5370000</v>
      </c>
      <c r="I198" s="104">
        <f>SUM(I139:I197)</f>
        <v>-4000000</v>
      </c>
      <c r="J198" s="104">
        <f>SUM(J139:J197)</f>
        <v>-4000000</v>
      </c>
      <c r="K198" s="90">
        <f>SUM(K139:K197)</f>
        <v>-4000000</v>
      </c>
    </row>
    <row r="199" spans="1:11" x14ac:dyDescent="0.25">
      <c r="A199" s="94" t="s">
        <v>12</v>
      </c>
      <c r="B199" s="94" t="s">
        <v>12</v>
      </c>
    </row>
    <row r="200" spans="1:11" x14ac:dyDescent="0.25">
      <c r="A200" s="97" t="s">
        <v>342</v>
      </c>
      <c r="B200" s="97" t="s">
        <v>343</v>
      </c>
      <c r="C200" s="95"/>
      <c r="D200" s="95"/>
      <c r="E200" s="95"/>
      <c r="F200" s="95"/>
      <c r="G200" s="95"/>
      <c r="H200" s="95"/>
      <c r="I200" s="104"/>
      <c r="J200" s="104"/>
      <c r="K200" s="90"/>
    </row>
    <row r="201" spans="1:11" x14ac:dyDescent="0.25">
      <c r="A201" s="94" t="s">
        <v>344</v>
      </c>
      <c r="B201" s="94" t="s">
        <v>345</v>
      </c>
      <c r="J201" s="102">
        <f>I201*DATAARK!$B$3</f>
        <v>0</v>
      </c>
      <c r="K201" s="102">
        <f>J201*DATAARK!$C$3</f>
        <v>0</v>
      </c>
    </row>
    <row r="202" spans="1:11" x14ac:dyDescent="0.25">
      <c r="A202" s="94" t="s">
        <v>346</v>
      </c>
      <c r="B202" s="94" t="s">
        <v>347</v>
      </c>
      <c r="J202" s="102">
        <f>I202*DATAARK!$B$3</f>
        <v>0</v>
      </c>
      <c r="K202" s="102">
        <f>J202*DATAARK!$C$3</f>
        <v>0</v>
      </c>
    </row>
    <row r="203" spans="1:11" x14ac:dyDescent="0.25">
      <c r="A203" s="94" t="s">
        <v>348</v>
      </c>
      <c r="B203" s="94" t="s">
        <v>349</v>
      </c>
      <c r="J203" s="102">
        <f>I203*DATAARK!$B$3</f>
        <v>0</v>
      </c>
      <c r="K203" s="102">
        <f>J203*DATAARK!$C$3</f>
        <v>0</v>
      </c>
    </row>
    <row r="204" spans="1:11" x14ac:dyDescent="0.25">
      <c r="A204" s="94" t="s">
        <v>350</v>
      </c>
      <c r="B204" s="94" t="s">
        <v>351</v>
      </c>
      <c r="J204" s="102">
        <f>I204*DATAARK!$B$3</f>
        <v>0</v>
      </c>
      <c r="K204" s="102">
        <f>J204*DATAARK!$C$3</f>
        <v>0</v>
      </c>
    </row>
    <row r="205" spans="1:11" x14ac:dyDescent="0.25">
      <c r="A205" s="94" t="s">
        <v>352</v>
      </c>
      <c r="B205" s="94" t="s">
        <v>353</v>
      </c>
      <c r="J205" s="102">
        <f>I205*DATAARK!$B$3</f>
        <v>0</v>
      </c>
      <c r="K205" s="102">
        <f>J205*DATAARK!$C$3</f>
        <v>0</v>
      </c>
    </row>
    <row r="206" spans="1:11" x14ac:dyDescent="0.25">
      <c r="A206" s="94" t="s">
        <v>354</v>
      </c>
      <c r="B206" s="94" t="s">
        <v>355</v>
      </c>
      <c r="J206" s="102">
        <f>I206*DATAARK!$B$3</f>
        <v>0</v>
      </c>
      <c r="K206" s="102">
        <f>J206*DATAARK!$C$3</f>
        <v>0</v>
      </c>
    </row>
    <row r="207" spans="1:11" x14ac:dyDescent="0.25">
      <c r="A207" s="94" t="s">
        <v>356</v>
      </c>
      <c r="B207" s="94" t="s">
        <v>357</v>
      </c>
      <c r="J207" s="102">
        <f>I207*DATAARK!$B$3</f>
        <v>0</v>
      </c>
      <c r="K207" s="102">
        <f>J207*DATAARK!$C$3</f>
        <v>0</v>
      </c>
    </row>
    <row r="208" spans="1:11" x14ac:dyDescent="0.25">
      <c r="A208" s="94" t="s">
        <v>358</v>
      </c>
      <c r="B208" s="94" t="s">
        <v>359</v>
      </c>
      <c r="J208" s="102">
        <f>I208*DATAARK!$B$3</f>
        <v>0</v>
      </c>
      <c r="K208" s="102">
        <f>J208*DATAARK!$C$3</f>
        <v>0</v>
      </c>
    </row>
    <row r="209" spans="1:11" x14ac:dyDescent="0.25">
      <c r="A209" s="97" t="s">
        <v>360</v>
      </c>
      <c r="B209" s="97" t="s">
        <v>361</v>
      </c>
      <c r="C209" s="95"/>
      <c r="D209" s="95"/>
      <c r="E209" s="95"/>
      <c r="F209" s="95"/>
      <c r="G209" s="95"/>
      <c r="H209" s="95">
        <v>0</v>
      </c>
      <c r="I209" s="104">
        <f>SUM(I201:I208)</f>
        <v>0</v>
      </c>
      <c r="J209" s="104">
        <f>SUM(J201:J208)</f>
        <v>0</v>
      </c>
      <c r="K209" s="90">
        <f>SUM(K201:K208)</f>
        <v>0</v>
      </c>
    </row>
    <row r="210" spans="1:11" x14ac:dyDescent="0.25">
      <c r="A210" s="94" t="s">
        <v>12</v>
      </c>
      <c r="B210" s="94" t="s">
        <v>12</v>
      </c>
    </row>
    <row r="211" spans="1:11" x14ac:dyDescent="0.25">
      <c r="A211" s="97" t="s">
        <v>362</v>
      </c>
      <c r="B211" s="97" t="s">
        <v>40</v>
      </c>
      <c r="C211" s="95"/>
      <c r="D211" s="95"/>
      <c r="E211" s="95"/>
      <c r="F211" s="95"/>
      <c r="G211" s="95"/>
      <c r="H211" s="95"/>
      <c r="I211" s="104"/>
      <c r="J211" s="104"/>
      <c r="K211" s="90"/>
    </row>
    <row r="212" spans="1:11" x14ac:dyDescent="0.25">
      <c r="A212" s="94" t="s">
        <v>363</v>
      </c>
      <c r="B212" s="94" t="s">
        <v>364</v>
      </c>
      <c r="J212" s="102">
        <f>I212*DATAARK!$B$3</f>
        <v>0</v>
      </c>
      <c r="K212" s="102">
        <f>J212*DATAARK!$C$3</f>
        <v>0</v>
      </c>
    </row>
    <row r="213" spans="1:11" x14ac:dyDescent="0.25">
      <c r="A213" s="94" t="s">
        <v>365</v>
      </c>
      <c r="B213" s="94" t="s">
        <v>366</v>
      </c>
      <c r="J213" s="102">
        <f>I213*DATAARK!$B$3</f>
        <v>0</v>
      </c>
      <c r="K213" s="102">
        <f>J213*DATAARK!$C$3</f>
        <v>0</v>
      </c>
    </row>
    <row r="214" spans="1:11" x14ac:dyDescent="0.25">
      <c r="A214" s="94" t="s">
        <v>367</v>
      </c>
      <c r="B214" s="94" t="s">
        <v>368</v>
      </c>
      <c r="J214" s="102">
        <f>I214*DATAARK!$B$3</f>
        <v>0</v>
      </c>
      <c r="K214" s="102">
        <f>J214*DATAARK!$C$3</f>
        <v>0</v>
      </c>
    </row>
    <row r="215" spans="1:11" x14ac:dyDescent="0.25">
      <c r="A215" s="94" t="s">
        <v>369</v>
      </c>
      <c r="B215" s="94" t="s">
        <v>370</v>
      </c>
      <c r="J215" s="102">
        <f>I215*DATAARK!$B$3</f>
        <v>0</v>
      </c>
      <c r="K215" s="102">
        <f>J215*DATAARK!$C$3</f>
        <v>0</v>
      </c>
    </row>
    <row r="216" spans="1:11" x14ac:dyDescent="0.25">
      <c r="A216" s="94" t="s">
        <v>371</v>
      </c>
      <c r="B216" s="94" t="s">
        <v>372</v>
      </c>
      <c r="J216" s="102">
        <f>I216*DATAARK!$B$3</f>
        <v>0</v>
      </c>
      <c r="K216" s="102">
        <f>J216*DATAARK!$C$3</f>
        <v>0</v>
      </c>
    </row>
    <row r="217" spans="1:11" x14ac:dyDescent="0.25">
      <c r="A217" s="94" t="s">
        <v>373</v>
      </c>
      <c r="B217" s="94" t="s">
        <v>374</v>
      </c>
      <c r="J217" s="102">
        <f>I217*DATAARK!$B$3</f>
        <v>0</v>
      </c>
      <c r="K217" s="102">
        <f>J217*DATAARK!$C$3</f>
        <v>0</v>
      </c>
    </row>
    <row r="218" spans="1:11" x14ac:dyDescent="0.25">
      <c r="A218" s="94" t="s">
        <v>375</v>
      </c>
      <c r="B218" s="94" t="s">
        <v>376</v>
      </c>
      <c r="J218" s="102">
        <f>I218*DATAARK!$B$3</f>
        <v>0</v>
      </c>
      <c r="K218" s="102">
        <f>J218*DATAARK!$C$3</f>
        <v>0</v>
      </c>
    </row>
    <row r="219" spans="1:11" x14ac:dyDescent="0.25">
      <c r="A219" s="97" t="s">
        <v>377</v>
      </c>
      <c r="B219" s="97" t="s">
        <v>378</v>
      </c>
      <c r="C219" s="95"/>
      <c r="D219" s="95"/>
      <c r="E219" s="95"/>
      <c r="F219" s="95"/>
      <c r="G219" s="95"/>
      <c r="H219" s="95">
        <v>0</v>
      </c>
      <c r="I219" s="104">
        <f>SUM(I212:I218)</f>
        <v>0</v>
      </c>
      <c r="J219" s="104">
        <f>SUM(J212:J218)</f>
        <v>0</v>
      </c>
      <c r="K219" s="90">
        <f>SUM(K212:K218)</f>
        <v>0</v>
      </c>
    </row>
    <row r="220" spans="1:11" x14ac:dyDescent="0.25">
      <c r="A220" s="94" t="s">
        <v>12</v>
      </c>
      <c r="B220" s="94" t="s">
        <v>12</v>
      </c>
    </row>
    <row r="221" spans="1:11" x14ac:dyDescent="0.25">
      <c r="A221" s="97" t="s">
        <v>379</v>
      </c>
      <c r="B221" s="97" t="s">
        <v>380</v>
      </c>
      <c r="C221" s="95"/>
      <c r="D221" s="95"/>
      <c r="E221" s="95"/>
      <c r="F221" s="95"/>
      <c r="G221" s="95"/>
      <c r="H221" s="95"/>
      <c r="I221" s="104"/>
      <c r="J221" s="104"/>
      <c r="K221" s="90"/>
    </row>
    <row r="222" spans="1:11" x14ac:dyDescent="0.25">
      <c r="A222" s="94" t="s">
        <v>381</v>
      </c>
      <c r="B222" s="94" t="s">
        <v>380</v>
      </c>
      <c r="J222" s="102">
        <f>I222*DATAARK!$B$3</f>
        <v>0</v>
      </c>
      <c r="K222" s="102">
        <f>J222*DATAARK!$C$3</f>
        <v>0</v>
      </c>
    </row>
    <row r="223" spans="1:11" x14ac:dyDescent="0.25">
      <c r="A223" s="97" t="s">
        <v>382</v>
      </c>
      <c r="B223" s="97" t="s">
        <v>383</v>
      </c>
      <c r="C223" s="95"/>
      <c r="D223" s="95"/>
      <c r="E223" s="95"/>
      <c r="F223" s="95"/>
      <c r="G223" s="95"/>
      <c r="H223" s="95">
        <v>0</v>
      </c>
      <c r="I223" s="104">
        <f>I222</f>
        <v>0</v>
      </c>
      <c r="J223" s="104">
        <f>SUM(J222)</f>
        <v>0</v>
      </c>
      <c r="K223" s="90">
        <f>SUM(K222)</f>
        <v>0</v>
      </c>
    </row>
    <row r="224" spans="1:11" x14ac:dyDescent="0.25">
      <c r="A224" s="94" t="s">
        <v>12</v>
      </c>
      <c r="B224" s="94" t="s">
        <v>12</v>
      </c>
    </row>
    <row r="225" spans="1:11" x14ac:dyDescent="0.25">
      <c r="A225" s="97" t="s">
        <v>384</v>
      </c>
      <c r="B225" s="97" t="s">
        <v>385</v>
      </c>
      <c r="C225" s="95"/>
      <c r="D225" s="95"/>
      <c r="E225" s="95"/>
      <c r="F225" s="95"/>
      <c r="G225" s="95"/>
      <c r="H225" s="95"/>
      <c r="I225" s="104"/>
      <c r="J225" s="104"/>
      <c r="K225" s="90"/>
    </row>
    <row r="226" spans="1:11" x14ac:dyDescent="0.25">
      <c r="A226" s="94" t="s">
        <v>386</v>
      </c>
      <c r="B226" s="94" t="s">
        <v>385</v>
      </c>
      <c r="J226" s="102">
        <f>I226*DATAARK!$B$3</f>
        <v>0</v>
      </c>
      <c r="K226" s="102">
        <f>J226*DATAARK!$C$3</f>
        <v>0</v>
      </c>
    </row>
    <row r="227" spans="1:11" x14ac:dyDescent="0.25">
      <c r="A227" s="97" t="s">
        <v>387</v>
      </c>
      <c r="B227" s="97" t="s">
        <v>388</v>
      </c>
      <c r="C227" s="95"/>
      <c r="D227" s="95"/>
      <c r="E227" s="95"/>
      <c r="F227" s="95"/>
      <c r="G227" s="95"/>
      <c r="H227" s="95">
        <v>0</v>
      </c>
      <c r="I227" s="104">
        <f>I226</f>
        <v>0</v>
      </c>
      <c r="J227" s="104">
        <f>J226</f>
        <v>0</v>
      </c>
      <c r="K227" s="90">
        <f>K226</f>
        <v>0</v>
      </c>
    </row>
    <row r="228" spans="1:11" x14ac:dyDescent="0.25">
      <c r="A228" s="94" t="s">
        <v>12</v>
      </c>
      <c r="B228" s="94" t="s">
        <v>12</v>
      </c>
    </row>
    <row r="229" spans="1:11" ht="15.75" thickBot="1" x14ac:dyDescent="0.3">
      <c r="A229" s="100" t="s">
        <v>389</v>
      </c>
      <c r="B229" s="100" t="s">
        <v>390</v>
      </c>
      <c r="C229" s="101">
        <v>10787119.16</v>
      </c>
      <c r="D229" s="101"/>
      <c r="E229" s="101"/>
      <c r="F229" s="101"/>
      <c r="G229" s="101">
        <v>-10787119.16</v>
      </c>
      <c r="H229" s="101">
        <v>4714132.370000001</v>
      </c>
      <c r="I229" s="105">
        <f>I219+I209+I223+I227+I198+I136+I127</f>
        <v>6084132.370000001</v>
      </c>
      <c r="J229" s="105">
        <f>J227+J223+J219+J209+J198+J136+J127</f>
        <v>-2000000</v>
      </c>
      <c r="K229" s="106">
        <f>K227+K223+K219+K209+K198+K136+K127</f>
        <v>-4000000</v>
      </c>
    </row>
    <row r="230" spans="1:11" ht="15.75" thickTop="1" x14ac:dyDescent="0.25">
      <c r="A230" s="94" t="s">
        <v>12</v>
      </c>
      <c r="B230" s="94" t="s">
        <v>12</v>
      </c>
    </row>
    <row r="231" spans="1:11" x14ac:dyDescent="0.25">
      <c r="A231" s="97" t="s">
        <v>391</v>
      </c>
      <c r="B231" s="97" t="s">
        <v>392</v>
      </c>
      <c r="C231" s="95"/>
      <c r="D231" s="95"/>
      <c r="E231" s="95"/>
      <c r="F231" s="95"/>
      <c r="G231" s="95"/>
      <c r="H231" s="95"/>
      <c r="I231" s="104"/>
      <c r="J231" s="104"/>
      <c r="K231" s="90"/>
    </row>
    <row r="232" spans="1:11" x14ac:dyDescent="0.25">
      <c r="A232" s="94" t="s">
        <v>393</v>
      </c>
      <c r="B232" s="94" t="s">
        <v>394</v>
      </c>
      <c r="J232" s="102">
        <f>I232*DATAARK!$B$3</f>
        <v>0</v>
      </c>
      <c r="K232" s="102">
        <f>J232*DATAARK!$C$3</f>
        <v>0</v>
      </c>
    </row>
    <row r="233" spans="1:11" x14ac:dyDescent="0.25">
      <c r="A233" s="94" t="s">
        <v>395</v>
      </c>
      <c r="B233" s="94" t="s">
        <v>396</v>
      </c>
      <c r="J233" s="102">
        <f>I233*DATAARK!$B$3</f>
        <v>0</v>
      </c>
      <c r="K233" s="102">
        <f>J233*DATAARK!$C$3</f>
        <v>0</v>
      </c>
    </row>
    <row r="234" spans="1:11" x14ac:dyDescent="0.25">
      <c r="A234" s="94" t="s">
        <v>397</v>
      </c>
      <c r="B234" s="94" t="s">
        <v>398</v>
      </c>
      <c r="J234" s="102">
        <f>I234*DATAARK!$B$3</f>
        <v>0</v>
      </c>
      <c r="K234" s="102">
        <f>J234*DATAARK!$C$3</f>
        <v>0</v>
      </c>
    </row>
    <row r="235" spans="1:11" x14ac:dyDescent="0.25">
      <c r="A235" s="97" t="s">
        <v>399</v>
      </c>
      <c r="B235" s="97" t="s">
        <v>400</v>
      </c>
      <c r="C235" s="95"/>
      <c r="D235" s="95"/>
      <c r="E235" s="95"/>
      <c r="F235" s="95"/>
      <c r="G235" s="95"/>
      <c r="H235" s="95">
        <v>0</v>
      </c>
      <c r="I235" s="104">
        <f>SUM(I232:I234)</f>
        <v>0</v>
      </c>
      <c r="J235" s="104">
        <f>SUM(J232:J234)</f>
        <v>0</v>
      </c>
      <c r="K235" s="90">
        <f>SUM(K232:K234)</f>
        <v>0</v>
      </c>
    </row>
    <row r="236" spans="1:11" x14ac:dyDescent="0.25">
      <c r="A236" s="94" t="s">
        <v>12</v>
      </c>
      <c r="B236" s="94" t="s">
        <v>12</v>
      </c>
    </row>
    <row r="237" spans="1:11" ht="15.75" thickBot="1" x14ac:dyDescent="0.3">
      <c r="A237" s="100" t="s">
        <v>12</v>
      </c>
      <c r="B237" s="100" t="s">
        <v>46</v>
      </c>
      <c r="C237" s="101">
        <v>10787119.16</v>
      </c>
      <c r="D237" s="101"/>
      <c r="E237" s="101"/>
      <c r="F237" s="101"/>
      <c r="G237" s="101">
        <v>-10787119.16</v>
      </c>
      <c r="H237" s="101">
        <v>4714132.370000001</v>
      </c>
      <c r="I237" s="105">
        <f>I229+I235</f>
        <v>6084132.370000001</v>
      </c>
      <c r="J237" s="105"/>
      <c r="K237" s="106"/>
    </row>
    <row r="238" spans="1:11" ht="15.75" thickTop="1" x14ac:dyDescent="0.25">
      <c r="A238" s="94" t="s">
        <v>12</v>
      </c>
      <c r="B238" s="94" t="s">
        <v>12</v>
      </c>
    </row>
    <row r="239" spans="1:11" x14ac:dyDescent="0.25">
      <c r="A239" s="94" t="s">
        <v>401</v>
      </c>
      <c r="B239" s="94" t="s">
        <v>402</v>
      </c>
      <c r="J239" s="102">
        <f>I239*DATAARK!$B$3</f>
        <v>0</v>
      </c>
      <c r="K239" s="102">
        <f>J239*DATAARK!$C$3</f>
        <v>0</v>
      </c>
    </row>
    <row r="240" spans="1:11" x14ac:dyDescent="0.25">
      <c r="A240" s="94" t="s">
        <v>403</v>
      </c>
      <c r="B240" s="94" t="s">
        <v>404</v>
      </c>
      <c r="J240" s="102">
        <f>I240*DATAARK!$B$3</f>
        <v>0</v>
      </c>
      <c r="K240" s="102">
        <f>J240*DATAARK!$C$3</f>
        <v>0</v>
      </c>
    </row>
    <row r="241" spans="1:11" x14ac:dyDescent="0.25">
      <c r="A241" s="94" t="s">
        <v>405</v>
      </c>
      <c r="B241" s="94" t="s">
        <v>406</v>
      </c>
      <c r="J241" s="102">
        <f>I241*DATAARK!$B$3</f>
        <v>0</v>
      </c>
      <c r="K241" s="102">
        <f>J241*DATAARK!$C$3</f>
        <v>0</v>
      </c>
    </row>
    <row r="242" spans="1:11" x14ac:dyDescent="0.25">
      <c r="A242" s="94" t="s">
        <v>407</v>
      </c>
      <c r="B242" s="94" t="s">
        <v>408</v>
      </c>
      <c r="J242" s="102">
        <f>I242*DATAARK!$B$3</f>
        <v>0</v>
      </c>
      <c r="K242" s="102">
        <f>J242*DATAARK!$C$3</f>
        <v>0</v>
      </c>
    </row>
    <row r="243" spans="1:11" x14ac:dyDescent="0.25">
      <c r="A243" s="97" t="s">
        <v>409</v>
      </c>
      <c r="B243" s="97" t="s">
        <v>410</v>
      </c>
      <c r="C243" s="95"/>
      <c r="D243" s="95"/>
      <c r="E243" s="95"/>
      <c r="F243" s="95"/>
      <c r="G243" s="95"/>
      <c r="H243" s="95">
        <v>0</v>
      </c>
      <c r="I243" s="104">
        <f>SUM(I239:I242)</f>
        <v>0</v>
      </c>
      <c r="J243" s="104">
        <f>SUM(J239:J242)</f>
        <v>0</v>
      </c>
      <c r="K243" s="104">
        <f>SUM(K239:K242)</f>
        <v>0</v>
      </c>
    </row>
    <row r="244" spans="1:11" x14ac:dyDescent="0.25">
      <c r="A244" s="94" t="s">
        <v>12</v>
      </c>
      <c r="B244" s="94" t="s">
        <v>12</v>
      </c>
    </row>
    <row r="245" spans="1:11" ht="15.75" thickBot="1" x14ac:dyDescent="0.3">
      <c r="A245" s="100" t="s">
        <v>411</v>
      </c>
      <c r="B245" s="100" t="s">
        <v>49</v>
      </c>
      <c r="C245" s="101">
        <v>10787119.16</v>
      </c>
      <c r="D245" s="101"/>
      <c r="E245" s="101"/>
      <c r="F245" s="101"/>
      <c r="G245" s="101">
        <v>-10787119.16</v>
      </c>
      <c r="H245" s="101">
        <v>4714132.370000001</v>
      </c>
      <c r="I245" s="105">
        <f>+I237+I243</f>
        <v>6084132.370000001</v>
      </c>
      <c r="J245" s="105">
        <f>J229+J235+J243</f>
        <v>-2000000</v>
      </c>
      <c r="K245" s="106">
        <f>K229+K235+K243</f>
        <v>-4000000</v>
      </c>
    </row>
    <row r="246" spans="1:11" ht="15.75" thickTop="1" x14ac:dyDescent="0.25"/>
  </sheetData>
  <sheetProtection algorithmName="SHA-512" hashValue="I3Ae2lm5DIs+cQ/xKOUjgEg7CHrYTfVF4bHER7NtQeQZiPfE/LLz7WG7NjKzdFqzZGGXAvFMimGp5G2LT31TpA==" saltValue="KDatt9CJuq4XM5DJp49YhA==" spinCount="100000" sheet="1"/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AD220F-44FA-4A83-A08C-661316BE78E3}">
  <dimension ref="A1:H8"/>
  <sheetViews>
    <sheetView workbookViewId="0">
      <selection activeCell="F8" sqref="F8"/>
    </sheetView>
  </sheetViews>
  <sheetFormatPr defaultRowHeight="15" x14ac:dyDescent="0.25"/>
  <cols>
    <col min="1" max="1" width="12.42578125" style="40" customWidth="1"/>
    <col min="2" max="2" width="12.28515625" style="40" bestFit="1" customWidth="1"/>
    <col min="3" max="3" width="14.42578125" style="40" bestFit="1" customWidth="1"/>
    <col min="4" max="4" width="47.28515625" style="40" bestFit="1" customWidth="1"/>
    <col min="5" max="5" width="28.85546875" style="40" bestFit="1" customWidth="1"/>
    <col min="6" max="6" width="14.28515625" style="53" bestFit="1" customWidth="1"/>
    <col min="7" max="16384" width="9.140625" style="40"/>
  </cols>
  <sheetData>
    <row r="1" spans="1:8" x14ac:dyDescent="0.25">
      <c r="A1" s="60" t="s">
        <v>447</v>
      </c>
      <c r="B1" s="61"/>
      <c r="C1" s="61"/>
      <c r="D1" s="61"/>
      <c r="E1" s="61"/>
      <c r="F1" s="62"/>
    </row>
    <row r="2" spans="1:8" ht="18.75" x14ac:dyDescent="0.25">
      <c r="A2" s="63" t="s">
        <v>448</v>
      </c>
      <c r="B2" s="64"/>
      <c r="C2" s="64"/>
      <c r="D2" s="64"/>
      <c r="E2" s="64"/>
      <c r="F2" s="65"/>
    </row>
    <row r="3" spans="1:8" x14ac:dyDescent="0.25">
      <c r="A3" s="66" t="s">
        <v>449</v>
      </c>
      <c r="B3" s="42" t="s">
        <v>450</v>
      </c>
      <c r="C3" s="42" t="s">
        <v>451</v>
      </c>
      <c r="D3" s="42" t="s">
        <v>452</v>
      </c>
      <c r="E3" s="42" t="s">
        <v>453</v>
      </c>
      <c r="F3" s="52" t="s">
        <v>454</v>
      </c>
    </row>
    <row r="4" spans="1:8" x14ac:dyDescent="0.25">
      <c r="A4" s="66">
        <v>44232</v>
      </c>
      <c r="B4" s="42" t="s">
        <v>455</v>
      </c>
      <c r="C4" s="42" t="s">
        <v>63</v>
      </c>
      <c r="D4" s="42" t="s">
        <v>456</v>
      </c>
      <c r="E4" s="42" t="s">
        <v>457</v>
      </c>
      <c r="F4" s="54">
        <v>-2028110</v>
      </c>
      <c r="H4" s="42" t="s">
        <v>458</v>
      </c>
    </row>
    <row r="5" spans="1:8" x14ac:dyDescent="0.25">
      <c r="A5" s="66">
        <v>44197</v>
      </c>
      <c r="B5" s="42" t="s">
        <v>455</v>
      </c>
      <c r="C5" s="42" t="s">
        <v>63</v>
      </c>
      <c r="D5" s="42" t="s">
        <v>459</v>
      </c>
      <c r="E5" s="42" t="s">
        <v>457</v>
      </c>
      <c r="F5" s="54">
        <v>-4505263.16</v>
      </c>
      <c r="H5" s="42" t="s">
        <v>458</v>
      </c>
    </row>
    <row r="6" spans="1:8" x14ac:dyDescent="0.25">
      <c r="A6" s="66">
        <v>44197</v>
      </c>
      <c r="B6" s="42" t="s">
        <v>455</v>
      </c>
      <c r="C6" s="42" t="s">
        <v>63</v>
      </c>
      <c r="D6" s="42" t="s">
        <v>460</v>
      </c>
      <c r="E6" s="42" t="s">
        <v>457</v>
      </c>
      <c r="F6" s="54">
        <v>-4253746</v>
      </c>
      <c r="H6" s="42" t="s">
        <v>458</v>
      </c>
    </row>
    <row r="7" spans="1:8" x14ac:dyDescent="0.25">
      <c r="A7" s="66">
        <v>44335</v>
      </c>
      <c r="B7" s="42"/>
      <c r="C7" s="42"/>
      <c r="D7" s="42" t="s">
        <v>461</v>
      </c>
      <c r="E7" s="42"/>
      <c r="F7" s="54">
        <v>702986.79</v>
      </c>
      <c r="H7" s="42" t="s">
        <v>462</v>
      </c>
    </row>
    <row r="8" spans="1:8" x14ac:dyDescent="0.25">
      <c r="A8" s="66"/>
      <c r="B8" s="42"/>
      <c r="C8" s="42"/>
      <c r="D8" s="42"/>
      <c r="E8" s="42"/>
      <c r="F8" s="52">
        <f>SUM(F4:F7)</f>
        <v>-10084132.370000001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B18A33-7C89-450E-8049-44EF3BB40F6C}">
  <dimension ref="A1:L245"/>
  <sheetViews>
    <sheetView workbookViewId="0">
      <selection activeCell="N148" sqref="N148"/>
    </sheetView>
  </sheetViews>
  <sheetFormatPr defaultRowHeight="15" x14ac:dyDescent="0.25"/>
  <cols>
    <col min="1" max="1" width="17.7109375" bestFit="1" customWidth="1"/>
    <col min="2" max="2" width="48.7109375" bestFit="1" customWidth="1"/>
    <col min="3" max="8" width="14.28515625" style="45" bestFit="1" customWidth="1"/>
    <col min="9" max="9" width="2.7109375" customWidth="1"/>
    <col min="10" max="10" width="14.28515625" style="45" bestFit="1" customWidth="1"/>
    <col min="11" max="11" width="2.7109375" customWidth="1"/>
    <col min="12" max="12" width="14.28515625" style="45" bestFit="1" customWidth="1"/>
  </cols>
  <sheetData>
    <row r="1" spans="1:12" x14ac:dyDescent="0.25">
      <c r="A1" t="s">
        <v>0</v>
      </c>
    </row>
    <row r="2" spans="1:12" x14ac:dyDescent="0.25">
      <c r="A2" t="s">
        <v>1</v>
      </c>
      <c r="B2" t="s">
        <v>2</v>
      </c>
    </row>
    <row r="3" spans="1:12" x14ac:dyDescent="0.25">
      <c r="A3" t="s">
        <v>3</v>
      </c>
      <c r="B3" t="s">
        <v>4</v>
      </c>
    </row>
    <row r="5" spans="1:12" x14ac:dyDescent="0.25">
      <c r="A5" t="s">
        <v>5</v>
      </c>
      <c r="B5" t="s">
        <v>6</v>
      </c>
    </row>
    <row r="7" spans="1:12" x14ac:dyDescent="0.25">
      <c r="C7" s="45" t="s">
        <v>7</v>
      </c>
      <c r="D7" s="45" t="s">
        <v>8</v>
      </c>
      <c r="E7" s="45" t="s">
        <v>9</v>
      </c>
      <c r="F7" s="45" t="s">
        <v>10</v>
      </c>
      <c r="G7" s="45" t="s">
        <v>11</v>
      </c>
      <c r="H7" s="115" t="s">
        <v>428</v>
      </c>
      <c r="J7" s="75" t="s">
        <v>428</v>
      </c>
      <c r="L7" s="45" t="s">
        <v>439</v>
      </c>
    </row>
    <row r="8" spans="1:12" x14ac:dyDescent="0.25">
      <c r="A8" t="s">
        <v>12</v>
      </c>
      <c r="B8" t="s">
        <v>13</v>
      </c>
      <c r="C8" s="46"/>
      <c r="D8" s="46"/>
      <c r="E8" s="46"/>
      <c r="F8" s="46"/>
      <c r="G8" s="46"/>
      <c r="H8" s="116"/>
      <c r="J8" s="76" t="s">
        <v>470</v>
      </c>
      <c r="L8" s="46"/>
    </row>
    <row r="9" spans="1:12" x14ac:dyDescent="0.25">
      <c r="A9" t="s">
        <v>12</v>
      </c>
      <c r="B9" t="s">
        <v>12</v>
      </c>
      <c r="H9" s="115"/>
      <c r="J9" s="75"/>
    </row>
    <row r="10" spans="1:12" x14ac:dyDescent="0.25">
      <c r="A10" t="s">
        <v>14</v>
      </c>
      <c r="B10" t="s">
        <v>15</v>
      </c>
      <c r="C10" s="45">
        <v>46576460.770000003</v>
      </c>
      <c r="D10" s="45">
        <v>90947976.510000005</v>
      </c>
      <c r="E10" s="45">
        <v>48.79</v>
      </c>
      <c r="F10" s="45">
        <v>51.21</v>
      </c>
      <c r="G10" s="45">
        <v>44371515.740000002</v>
      </c>
      <c r="H10" s="115">
        <v>79521201.560000002</v>
      </c>
      <c r="J10" s="75">
        <v>86817783.65393135</v>
      </c>
      <c r="L10" s="45">
        <f>H10-J10</f>
        <v>-7296582.0939313471</v>
      </c>
    </row>
    <row r="11" spans="1:12" x14ac:dyDescent="0.25">
      <c r="A11" t="s">
        <v>16</v>
      </c>
      <c r="B11" t="s">
        <v>17</v>
      </c>
      <c r="C11" s="45">
        <v>3310489.05</v>
      </c>
      <c r="D11" s="45">
        <v>5639295.6699999999</v>
      </c>
      <c r="E11" s="45">
        <v>41.3</v>
      </c>
      <c r="F11" s="45">
        <v>58.7</v>
      </c>
      <c r="G11" s="45">
        <v>2328806.62</v>
      </c>
      <c r="H11" s="115">
        <v>5844287.0500000007</v>
      </c>
      <c r="J11" s="75">
        <v>5659690.2500000009</v>
      </c>
      <c r="L11" s="45">
        <f>H11-J11</f>
        <v>184596.79999999981</v>
      </c>
    </row>
    <row r="12" spans="1:12" x14ac:dyDescent="0.25">
      <c r="A12" t="s">
        <v>18</v>
      </c>
      <c r="B12" t="s">
        <v>19</v>
      </c>
      <c r="C12" s="45">
        <v>362884.2</v>
      </c>
      <c r="G12" s="45">
        <v>-362884.2</v>
      </c>
      <c r="H12" s="115">
        <v>698365.85000000009</v>
      </c>
      <c r="J12" s="75">
        <v>1151502.1000000001</v>
      </c>
      <c r="L12" s="45">
        <f>H12-J12</f>
        <v>-453136.25</v>
      </c>
    </row>
    <row r="13" spans="1:12" x14ac:dyDescent="0.25">
      <c r="A13" t="s">
        <v>20</v>
      </c>
      <c r="B13" t="s">
        <v>21</v>
      </c>
      <c r="C13" s="46">
        <v>50249834.020000003</v>
      </c>
      <c r="D13" s="46">
        <v>96587272.180000007</v>
      </c>
      <c r="E13" s="46">
        <v>47.97</v>
      </c>
      <c r="F13" s="46">
        <v>52.03</v>
      </c>
      <c r="G13" s="46">
        <v>46337438.159999996</v>
      </c>
      <c r="H13" s="116">
        <v>86063854.460000008</v>
      </c>
      <c r="J13" s="76">
        <v>93628976.003931344</v>
      </c>
      <c r="L13" s="46">
        <f>H13-J13</f>
        <v>-7565121.5439313352</v>
      </c>
    </row>
    <row r="14" spans="1:12" x14ac:dyDescent="0.25">
      <c r="A14" t="s">
        <v>12</v>
      </c>
      <c r="B14" t="s">
        <v>12</v>
      </c>
      <c r="H14" s="115"/>
      <c r="J14" s="75"/>
    </row>
    <row r="15" spans="1:12" x14ac:dyDescent="0.25">
      <c r="A15" t="s">
        <v>12</v>
      </c>
      <c r="B15" t="s">
        <v>22</v>
      </c>
      <c r="C15" s="46"/>
      <c r="D15" s="46"/>
      <c r="E15" s="46"/>
      <c r="F15" s="46"/>
      <c r="G15" s="46"/>
      <c r="H15" s="116"/>
      <c r="J15" s="76"/>
      <c r="L15" s="46"/>
    </row>
    <row r="16" spans="1:12" x14ac:dyDescent="0.25">
      <c r="A16" t="s">
        <v>23</v>
      </c>
      <c r="B16" t="s">
        <v>24</v>
      </c>
      <c r="H16" s="115">
        <v>0</v>
      </c>
      <c r="J16" s="75">
        <v>0</v>
      </c>
      <c r="L16" s="45">
        <f>H16-J16</f>
        <v>0</v>
      </c>
    </row>
    <row r="17" spans="1:12" x14ac:dyDescent="0.25">
      <c r="A17" t="s">
        <v>25</v>
      </c>
      <c r="B17" t="s">
        <v>26</v>
      </c>
      <c r="C17" s="45">
        <v>-459230.14</v>
      </c>
      <c r="D17" s="45">
        <v>-1051606</v>
      </c>
      <c r="E17" s="45">
        <v>56.33</v>
      </c>
      <c r="F17" s="45">
        <v>43.67</v>
      </c>
      <c r="G17" s="45">
        <v>-592375.86</v>
      </c>
      <c r="H17" s="115">
        <v>-862265.81</v>
      </c>
      <c r="J17" s="75">
        <v>-1128683.06</v>
      </c>
      <c r="L17" s="45">
        <f>H17-J17</f>
        <v>266417.25</v>
      </c>
    </row>
    <row r="18" spans="1:12" x14ac:dyDescent="0.25">
      <c r="A18" t="s">
        <v>27</v>
      </c>
      <c r="B18" t="s">
        <v>28</v>
      </c>
      <c r="H18" s="115"/>
      <c r="J18" s="75"/>
    </row>
    <row r="19" spans="1:12" x14ac:dyDescent="0.25">
      <c r="A19" t="s">
        <v>12</v>
      </c>
      <c r="B19" t="s">
        <v>12</v>
      </c>
      <c r="H19" s="115"/>
      <c r="J19" s="75"/>
    </row>
    <row r="20" spans="1:12" x14ac:dyDescent="0.25">
      <c r="A20" t="s">
        <v>29</v>
      </c>
      <c r="B20" t="s">
        <v>30</v>
      </c>
      <c r="C20" s="45">
        <v>-33063795.859999999</v>
      </c>
      <c r="D20" s="45">
        <v>-66770111.689999998</v>
      </c>
      <c r="E20" s="45">
        <v>50.48</v>
      </c>
      <c r="F20" s="45">
        <v>49.52</v>
      </c>
      <c r="G20" s="45">
        <v>-33706315.829999998</v>
      </c>
      <c r="H20" s="115">
        <v>-60585770.510000005</v>
      </c>
      <c r="J20" s="75">
        <v>-63254412.579999998</v>
      </c>
      <c r="L20" s="45">
        <f>H20-J20</f>
        <v>2668642.0699999928</v>
      </c>
    </row>
    <row r="21" spans="1:12" x14ac:dyDescent="0.25">
      <c r="A21" t="s">
        <v>31</v>
      </c>
      <c r="B21" t="s">
        <v>32</v>
      </c>
      <c r="C21" s="46">
        <v>-33523026</v>
      </c>
      <c r="D21" s="46">
        <v>-67821717.689999998</v>
      </c>
      <c r="E21" s="46">
        <v>50.57</v>
      </c>
      <c r="F21" s="46">
        <v>49.43</v>
      </c>
      <c r="G21" s="46">
        <v>-34298691.689999998</v>
      </c>
      <c r="H21" s="116">
        <v>-61431156.079999998</v>
      </c>
      <c r="J21" s="76">
        <v>-63254412.579999998</v>
      </c>
      <c r="L21" s="46">
        <f>H21-J21</f>
        <v>1823256.5</v>
      </c>
    </row>
    <row r="22" spans="1:12" x14ac:dyDescent="0.25">
      <c r="A22" t="s">
        <v>12</v>
      </c>
      <c r="B22" t="s">
        <v>12</v>
      </c>
      <c r="H22" s="115"/>
      <c r="J22" s="75"/>
    </row>
    <row r="23" spans="1:12" x14ac:dyDescent="0.25">
      <c r="A23" t="s">
        <v>33</v>
      </c>
      <c r="B23" t="s">
        <v>34</v>
      </c>
      <c r="C23" s="45">
        <v>1186063.17</v>
      </c>
      <c r="D23" s="45">
        <v>813348.36</v>
      </c>
      <c r="E23" s="45">
        <v>-45.82</v>
      </c>
      <c r="F23" s="45">
        <v>145.82</v>
      </c>
      <c r="G23" s="45">
        <v>-372714.81</v>
      </c>
      <c r="H23" s="115">
        <v>1698661.9</v>
      </c>
      <c r="J23" s="75">
        <v>713923.00999999989</v>
      </c>
      <c r="L23" s="45">
        <f t="shared" ref="L23:L28" si="0">H23-J23</f>
        <v>984738.89</v>
      </c>
    </row>
    <row r="24" spans="1:12" x14ac:dyDescent="0.25">
      <c r="A24" t="s">
        <v>35</v>
      </c>
      <c r="B24" t="s">
        <v>36</v>
      </c>
      <c r="C24" s="45">
        <v>-9145002.5</v>
      </c>
      <c r="D24" s="45">
        <v>-30277905.449999999</v>
      </c>
      <c r="E24" s="45">
        <v>69.8</v>
      </c>
      <c r="F24" s="45">
        <v>30.2</v>
      </c>
      <c r="G24" s="45">
        <v>-21132902.949999999</v>
      </c>
      <c r="H24" s="115">
        <v>-28864549.32</v>
      </c>
      <c r="J24" s="75">
        <v>-29898461.93</v>
      </c>
      <c r="L24" s="45">
        <f t="shared" si="0"/>
        <v>1033912.6099999994</v>
      </c>
    </row>
    <row r="25" spans="1:12" x14ac:dyDescent="0.25">
      <c r="A25" t="s">
        <v>37</v>
      </c>
      <c r="B25" t="s">
        <v>38</v>
      </c>
      <c r="C25" s="45">
        <v>-1246.72</v>
      </c>
      <c r="D25" s="45">
        <v>42000</v>
      </c>
      <c r="E25" s="45">
        <v>102.97</v>
      </c>
      <c r="F25" s="45">
        <v>-2.97</v>
      </c>
      <c r="G25" s="45">
        <v>43246.720000000001</v>
      </c>
      <c r="H25" s="115">
        <v>-246.72000000000003</v>
      </c>
      <c r="J25" s="75">
        <v>1230.07</v>
      </c>
      <c r="L25" s="45">
        <f t="shared" si="0"/>
        <v>-1476.79</v>
      </c>
    </row>
    <row r="26" spans="1:12" x14ac:dyDescent="0.25">
      <c r="A26" t="s">
        <v>39</v>
      </c>
      <c r="B26" t="s">
        <v>40</v>
      </c>
      <c r="C26" s="45">
        <v>-131604.32999999999</v>
      </c>
      <c r="D26" s="45">
        <v>-463483.58</v>
      </c>
      <c r="E26" s="45">
        <v>71.61</v>
      </c>
      <c r="F26" s="45">
        <v>28.39</v>
      </c>
      <c r="G26" s="45">
        <v>-331879.25</v>
      </c>
      <c r="H26" s="115">
        <v>-300983.01</v>
      </c>
      <c r="J26" s="75">
        <v>-305247.66000000003</v>
      </c>
      <c r="L26" s="45">
        <f t="shared" si="0"/>
        <v>4264.6500000000233</v>
      </c>
    </row>
    <row r="27" spans="1:12" x14ac:dyDescent="0.25">
      <c r="A27" t="s">
        <v>41</v>
      </c>
      <c r="B27" t="s">
        <v>42</v>
      </c>
      <c r="H27" s="115"/>
      <c r="J27" s="75">
        <v>0</v>
      </c>
      <c r="L27" s="45">
        <f t="shared" si="0"/>
        <v>0</v>
      </c>
    </row>
    <row r="28" spans="1:12" x14ac:dyDescent="0.25">
      <c r="A28" t="s">
        <v>43</v>
      </c>
      <c r="B28" t="s">
        <v>44</v>
      </c>
      <c r="H28" s="115"/>
      <c r="J28" s="75">
        <v>0</v>
      </c>
      <c r="L28" s="45">
        <f t="shared" si="0"/>
        <v>0</v>
      </c>
    </row>
    <row r="29" spans="1:12" x14ac:dyDescent="0.25">
      <c r="A29" t="s">
        <v>12</v>
      </c>
      <c r="B29" t="s">
        <v>12</v>
      </c>
      <c r="H29" s="115"/>
      <c r="J29" s="75"/>
    </row>
    <row r="30" spans="1:12" ht="15.75" thickBot="1" x14ac:dyDescent="0.3">
      <c r="A30" t="s">
        <v>45</v>
      </c>
      <c r="B30" t="s">
        <v>46</v>
      </c>
      <c r="C30" s="47">
        <v>8635017.6400000006</v>
      </c>
      <c r="D30" s="47">
        <v>-1120486.18</v>
      </c>
      <c r="E30" s="47">
        <v>870.65</v>
      </c>
      <c r="F30" s="47">
        <v>-770.65</v>
      </c>
      <c r="G30" s="47">
        <v>-9755503.8200000003</v>
      </c>
      <c r="H30" s="117">
        <v>-2851299.0100000035</v>
      </c>
      <c r="J30" s="77">
        <v>-242676.14606866613</v>
      </c>
      <c r="L30" s="47">
        <f>H30-J30</f>
        <v>-2608622.8639313374</v>
      </c>
    </row>
    <row r="31" spans="1:12" ht="15.75" thickTop="1" x14ac:dyDescent="0.25">
      <c r="A31" t="s">
        <v>12</v>
      </c>
      <c r="B31" t="s">
        <v>12</v>
      </c>
      <c r="H31" s="115"/>
      <c r="J31" s="75"/>
    </row>
    <row r="32" spans="1:12" x14ac:dyDescent="0.25">
      <c r="A32" t="s">
        <v>47</v>
      </c>
      <c r="B32" t="s">
        <v>48</v>
      </c>
      <c r="C32" s="45">
        <v>-1533418.31</v>
      </c>
      <c r="D32" s="45">
        <v>-3644077.35</v>
      </c>
      <c r="E32" s="45">
        <v>57.92</v>
      </c>
      <c r="F32" s="45">
        <v>42.08</v>
      </c>
      <c r="G32" s="45">
        <v>-2110659.04</v>
      </c>
      <c r="H32" s="115">
        <v>-3146560.6999999997</v>
      </c>
      <c r="J32" s="75">
        <v>-3107462.06</v>
      </c>
      <c r="L32" s="45">
        <f>H32-J32</f>
        <v>-39098.639999999665</v>
      </c>
    </row>
    <row r="33" spans="1:12" x14ac:dyDescent="0.25">
      <c r="A33" t="s">
        <v>12</v>
      </c>
      <c r="B33" t="s">
        <v>12</v>
      </c>
      <c r="H33" s="115"/>
      <c r="J33" s="75"/>
    </row>
    <row r="34" spans="1:12" ht="15.75" thickBot="1" x14ac:dyDescent="0.3">
      <c r="A34" t="s">
        <v>12</v>
      </c>
      <c r="B34" t="s">
        <v>49</v>
      </c>
      <c r="C34" s="47">
        <v>7101599.3300000001</v>
      </c>
      <c r="D34" s="47">
        <v>-4764563.53</v>
      </c>
      <c r="E34" s="47">
        <v>249.05</v>
      </c>
      <c r="F34" s="47">
        <v>-149.05000000000001</v>
      </c>
      <c r="G34" s="47">
        <v>-11866162.859999999</v>
      </c>
      <c r="H34" s="117">
        <v>-5997859.7100000046</v>
      </c>
      <c r="J34" s="77">
        <v>-3350138.2060686685</v>
      </c>
      <c r="L34" s="47">
        <f>H34-J34</f>
        <v>-2647721.5039313361</v>
      </c>
    </row>
    <row r="35" spans="1:12" ht="15.75" thickTop="1" x14ac:dyDescent="0.25">
      <c r="A35" t="s">
        <v>12</v>
      </c>
      <c r="B35" t="s">
        <v>12</v>
      </c>
      <c r="H35" s="115"/>
      <c r="J35" s="75"/>
    </row>
    <row r="36" spans="1:12" x14ac:dyDescent="0.25">
      <c r="A36" t="s">
        <v>12</v>
      </c>
      <c r="B36" t="s">
        <v>50</v>
      </c>
      <c r="C36" s="46"/>
      <c r="D36" s="46"/>
      <c r="E36" s="46"/>
      <c r="F36" s="46"/>
      <c r="G36" s="46"/>
      <c r="H36" s="116">
        <v>0</v>
      </c>
      <c r="J36" s="76">
        <v>-7.4505805969238281E-9</v>
      </c>
      <c r="L36" s="46">
        <v>-7.4505805969238281E-9</v>
      </c>
    </row>
    <row r="37" spans="1:12" x14ac:dyDescent="0.25">
      <c r="C37" s="46"/>
      <c r="D37" s="46"/>
      <c r="E37" s="46"/>
      <c r="F37" s="46"/>
      <c r="G37" s="46"/>
      <c r="H37" s="116"/>
      <c r="I37" s="40"/>
      <c r="J37" s="76"/>
      <c r="L37" s="46"/>
    </row>
    <row r="38" spans="1:12" x14ac:dyDescent="0.25">
      <c r="A38" t="s">
        <v>51</v>
      </c>
      <c r="B38" t="s">
        <v>52</v>
      </c>
      <c r="C38" s="46"/>
      <c r="D38" s="46"/>
      <c r="E38" s="46"/>
      <c r="F38" s="46"/>
      <c r="G38" s="46"/>
      <c r="H38" s="116"/>
      <c r="J38" s="76"/>
      <c r="L38" s="46"/>
    </row>
    <row r="39" spans="1:12" x14ac:dyDescent="0.25">
      <c r="A39" t="s">
        <v>53</v>
      </c>
      <c r="B39" t="s">
        <v>54</v>
      </c>
      <c r="C39" s="45">
        <v>28865159.129999999</v>
      </c>
      <c r="D39" s="45">
        <v>64739024.600000001</v>
      </c>
      <c r="E39" s="45">
        <v>55.41</v>
      </c>
      <c r="F39" s="45">
        <v>44.59</v>
      </c>
      <c r="G39" s="45">
        <v>35873865.469999999</v>
      </c>
      <c r="H39" s="115">
        <v>55873421.189999998</v>
      </c>
      <c r="J39" s="75">
        <v>64475245.587244488</v>
      </c>
      <c r="L39" s="45">
        <f t="shared" ref="L39:L45" si="1">H39-J39</f>
        <v>-8601824.3972444907</v>
      </c>
    </row>
    <row r="40" spans="1:12" x14ac:dyDescent="0.25">
      <c r="A40" t="s">
        <v>55</v>
      </c>
      <c r="B40" t="s">
        <v>56</v>
      </c>
      <c r="C40" s="45">
        <v>60595.199999999997</v>
      </c>
      <c r="D40" s="45">
        <v>3691120</v>
      </c>
      <c r="E40" s="45">
        <v>98.36</v>
      </c>
      <c r="F40" s="45">
        <v>1.64</v>
      </c>
      <c r="G40" s="45">
        <v>3630524.8</v>
      </c>
      <c r="H40" s="115">
        <v>1300000</v>
      </c>
      <c r="J40" s="75">
        <v>0</v>
      </c>
      <c r="L40" s="45">
        <f t="shared" si="1"/>
        <v>1300000</v>
      </c>
    </row>
    <row r="41" spans="1:12" x14ac:dyDescent="0.25">
      <c r="A41" t="s">
        <v>57</v>
      </c>
      <c r="B41" t="s">
        <v>58</v>
      </c>
      <c r="C41" s="45">
        <v>107318.33</v>
      </c>
      <c r="G41" s="45">
        <v>-107318.33</v>
      </c>
      <c r="H41" s="115">
        <v>0</v>
      </c>
      <c r="J41" s="75">
        <v>0</v>
      </c>
      <c r="L41" s="45">
        <f t="shared" si="1"/>
        <v>0</v>
      </c>
    </row>
    <row r="42" spans="1:12" x14ac:dyDescent="0.25">
      <c r="A42" t="s">
        <v>59</v>
      </c>
      <c r="B42" t="s">
        <v>60</v>
      </c>
      <c r="C42" s="45">
        <v>9595.9500000000007</v>
      </c>
      <c r="D42" s="45">
        <v>87235.91</v>
      </c>
      <c r="E42" s="45">
        <v>89</v>
      </c>
      <c r="F42" s="45">
        <v>11</v>
      </c>
      <c r="G42" s="45">
        <v>77639.960000000006</v>
      </c>
      <c r="H42" s="115">
        <v>0</v>
      </c>
      <c r="J42" s="75">
        <v>0</v>
      </c>
      <c r="L42" s="45">
        <f t="shared" si="1"/>
        <v>0</v>
      </c>
    </row>
    <row r="43" spans="1:12" x14ac:dyDescent="0.25">
      <c r="A43" t="s">
        <v>61</v>
      </c>
      <c r="B43" t="s">
        <v>62</v>
      </c>
      <c r="C43" s="45">
        <v>5516975</v>
      </c>
      <c r="D43" s="45">
        <v>11033950</v>
      </c>
      <c r="E43" s="45">
        <v>50</v>
      </c>
      <c r="F43" s="45">
        <v>50</v>
      </c>
      <c r="G43" s="45">
        <v>5516975</v>
      </c>
      <c r="H43" s="115">
        <v>11033950</v>
      </c>
      <c r="J43" s="75">
        <v>11033950</v>
      </c>
      <c r="L43" s="45">
        <f t="shared" si="1"/>
        <v>0</v>
      </c>
    </row>
    <row r="44" spans="1:12" x14ac:dyDescent="0.25">
      <c r="A44" t="s">
        <v>63</v>
      </c>
      <c r="B44" t="s">
        <v>64</v>
      </c>
      <c r="C44" s="45">
        <v>12016817.16</v>
      </c>
      <c r="D44" s="45">
        <v>11396646</v>
      </c>
      <c r="E44" s="45">
        <v>-5.44</v>
      </c>
      <c r="F44" s="45">
        <v>105.44</v>
      </c>
      <c r="G44" s="45">
        <v>-620171.16</v>
      </c>
      <c r="H44" s="115">
        <v>10612902.510000002</v>
      </c>
      <c r="J44" s="75">
        <v>11313830.370000001</v>
      </c>
      <c r="L44" s="45">
        <f t="shared" si="1"/>
        <v>-700927.8599999994</v>
      </c>
    </row>
    <row r="45" spans="1:12" x14ac:dyDescent="0.25">
      <c r="A45" t="s">
        <v>65</v>
      </c>
      <c r="B45" t="s">
        <v>66</v>
      </c>
      <c r="C45" s="46">
        <v>46576460.770000003</v>
      </c>
      <c r="D45" s="46">
        <v>90947976.510000005</v>
      </c>
      <c r="E45" s="46">
        <v>48.79</v>
      </c>
      <c r="F45" s="46">
        <v>51.21</v>
      </c>
      <c r="G45" s="46">
        <v>44371515.740000002</v>
      </c>
      <c r="H45" s="116">
        <v>79521201.560000002</v>
      </c>
      <c r="J45" s="76">
        <v>86817783.65393135</v>
      </c>
      <c r="L45" s="46">
        <f t="shared" si="1"/>
        <v>-7296582.0939313471</v>
      </c>
    </row>
    <row r="46" spans="1:12" x14ac:dyDescent="0.25">
      <c r="A46" t="s">
        <v>12</v>
      </c>
      <c r="B46" t="s">
        <v>12</v>
      </c>
      <c r="H46" s="115"/>
      <c r="J46" s="75"/>
    </row>
    <row r="47" spans="1:12" x14ac:dyDescent="0.25">
      <c r="A47" t="s">
        <v>67</v>
      </c>
      <c r="B47" t="s">
        <v>68</v>
      </c>
      <c r="C47" s="46"/>
      <c r="D47" s="46"/>
      <c r="E47" s="46"/>
      <c r="F47" s="46"/>
      <c r="G47" s="46"/>
      <c r="H47" s="116"/>
      <c r="J47" s="76"/>
      <c r="L47" s="46"/>
    </row>
    <row r="48" spans="1:12" x14ac:dyDescent="0.25">
      <c r="A48" t="s">
        <v>69</v>
      </c>
      <c r="B48" t="s">
        <v>70</v>
      </c>
      <c r="H48" s="115"/>
      <c r="J48" s="75">
        <v>0</v>
      </c>
      <c r="L48" s="45">
        <f t="shared" ref="L48:L58" si="2">H48-J48</f>
        <v>0</v>
      </c>
    </row>
    <row r="49" spans="1:12" x14ac:dyDescent="0.25">
      <c r="A49" t="s">
        <v>71</v>
      </c>
      <c r="B49" t="s">
        <v>72</v>
      </c>
      <c r="C49" s="45">
        <v>115226.65</v>
      </c>
      <c r="G49" s="45">
        <v>-115226.65</v>
      </c>
      <c r="H49" s="115">
        <v>162512.65</v>
      </c>
      <c r="J49" s="75">
        <v>115226.64999999998</v>
      </c>
      <c r="L49" s="45">
        <f t="shared" si="2"/>
        <v>47286.000000000015</v>
      </c>
    </row>
    <row r="50" spans="1:12" x14ac:dyDescent="0.25">
      <c r="A50" t="s">
        <v>73</v>
      </c>
      <c r="B50" t="s">
        <v>74</v>
      </c>
      <c r="D50" s="45">
        <v>301747</v>
      </c>
      <c r="E50" s="45">
        <v>100</v>
      </c>
      <c r="G50" s="45">
        <v>301747</v>
      </c>
      <c r="H50" s="115">
        <v>0</v>
      </c>
      <c r="J50" s="75">
        <v>0</v>
      </c>
      <c r="L50" s="45">
        <f t="shared" si="2"/>
        <v>0</v>
      </c>
    </row>
    <row r="51" spans="1:12" x14ac:dyDescent="0.25">
      <c r="A51" t="s">
        <v>75</v>
      </c>
      <c r="B51" t="s">
        <v>76</v>
      </c>
      <c r="C51" s="45">
        <v>151069.5</v>
      </c>
      <c r="G51" s="45">
        <v>-151069.5</v>
      </c>
      <c r="H51" s="115">
        <v>151069.5</v>
      </c>
      <c r="J51" s="75">
        <v>29687.5</v>
      </c>
      <c r="L51" s="45">
        <f t="shared" si="2"/>
        <v>121382</v>
      </c>
    </row>
    <row r="52" spans="1:12" x14ac:dyDescent="0.25">
      <c r="A52" t="s">
        <v>77</v>
      </c>
      <c r="B52" t="s">
        <v>78</v>
      </c>
      <c r="C52" s="45">
        <v>4800</v>
      </c>
      <c r="D52" s="45">
        <v>26000</v>
      </c>
      <c r="E52" s="45">
        <v>81.540000000000006</v>
      </c>
      <c r="F52" s="45">
        <v>18.46</v>
      </c>
      <c r="G52" s="45">
        <v>21200</v>
      </c>
      <c r="H52" s="115">
        <v>26000</v>
      </c>
      <c r="J52" s="75">
        <v>26000</v>
      </c>
      <c r="L52" s="45">
        <f t="shared" si="2"/>
        <v>0</v>
      </c>
    </row>
    <row r="53" spans="1:12" x14ac:dyDescent="0.25">
      <c r="A53" t="s">
        <v>79</v>
      </c>
      <c r="B53" t="s">
        <v>80</v>
      </c>
      <c r="C53" s="45">
        <v>13500</v>
      </c>
      <c r="G53" s="45">
        <v>-13500</v>
      </c>
      <c r="H53" s="115">
        <v>13500</v>
      </c>
      <c r="J53" s="75">
        <v>0</v>
      </c>
      <c r="L53" s="45">
        <f t="shared" si="2"/>
        <v>13500</v>
      </c>
    </row>
    <row r="54" spans="1:12" x14ac:dyDescent="0.25">
      <c r="A54" t="s">
        <v>81</v>
      </c>
      <c r="B54" t="s">
        <v>82</v>
      </c>
      <c r="C54" s="45">
        <v>2966638.5</v>
      </c>
      <c r="D54" s="45">
        <v>3277907.67</v>
      </c>
      <c r="E54" s="45">
        <v>9.5</v>
      </c>
      <c r="F54" s="45">
        <v>90.5</v>
      </c>
      <c r="G54" s="45">
        <v>311269.17</v>
      </c>
      <c r="H54" s="115">
        <v>3292659.8</v>
      </c>
      <c r="J54" s="75">
        <v>3292031</v>
      </c>
      <c r="L54" s="45">
        <f t="shared" si="2"/>
        <v>628.79999999981374</v>
      </c>
    </row>
    <row r="55" spans="1:12" x14ac:dyDescent="0.25">
      <c r="A55" t="s">
        <v>83</v>
      </c>
      <c r="B55" t="s">
        <v>84</v>
      </c>
      <c r="C55" s="45">
        <v>43400.3</v>
      </c>
      <c r="D55" s="45">
        <v>1520321</v>
      </c>
      <c r="E55" s="45">
        <v>97.15</v>
      </c>
      <c r="F55" s="45">
        <v>2.85</v>
      </c>
      <c r="G55" s="45">
        <v>1476920.7</v>
      </c>
      <c r="H55" s="115">
        <v>1523921</v>
      </c>
      <c r="J55" s="75">
        <v>1522121</v>
      </c>
      <c r="L55" s="45">
        <f t="shared" si="2"/>
        <v>1800</v>
      </c>
    </row>
    <row r="56" spans="1:12" x14ac:dyDescent="0.25">
      <c r="A56" t="s">
        <v>85</v>
      </c>
      <c r="B56" t="s">
        <v>86</v>
      </c>
      <c r="C56" s="45">
        <v>6600</v>
      </c>
      <c r="G56" s="45">
        <v>-6600</v>
      </c>
      <c r="H56" s="115">
        <v>6850</v>
      </c>
      <c r="J56" s="75">
        <v>6850</v>
      </c>
      <c r="L56" s="45">
        <f t="shared" si="2"/>
        <v>0</v>
      </c>
    </row>
    <row r="57" spans="1:12" x14ac:dyDescent="0.25">
      <c r="A57" t="s">
        <v>87</v>
      </c>
      <c r="B57" t="s">
        <v>88</v>
      </c>
      <c r="C57" s="45">
        <v>9254.1</v>
      </c>
      <c r="D57" s="45">
        <v>513320</v>
      </c>
      <c r="E57" s="45">
        <v>98.2</v>
      </c>
      <c r="F57" s="45">
        <v>1.8</v>
      </c>
      <c r="G57" s="45">
        <v>504065.9</v>
      </c>
      <c r="H57" s="115">
        <v>667774.1</v>
      </c>
      <c r="J57" s="75">
        <v>667774.1</v>
      </c>
      <c r="L57" s="45">
        <f t="shared" si="2"/>
        <v>0</v>
      </c>
    </row>
    <row r="58" spans="1:12" x14ac:dyDescent="0.25">
      <c r="A58" t="s">
        <v>89</v>
      </c>
      <c r="B58" t="s">
        <v>17</v>
      </c>
      <c r="C58" s="46">
        <v>3310489.05</v>
      </c>
      <c r="D58" s="46">
        <v>5639295.6699999999</v>
      </c>
      <c r="E58" s="46">
        <v>41.3</v>
      </c>
      <c r="F58" s="46">
        <v>58.7</v>
      </c>
      <c r="G58" s="46">
        <v>2328806.62</v>
      </c>
      <c r="H58" s="116">
        <v>5844287.0500000007</v>
      </c>
      <c r="J58" s="76">
        <v>5659690.2500000009</v>
      </c>
      <c r="L58" s="46">
        <f t="shared" si="2"/>
        <v>184596.79999999981</v>
      </c>
    </row>
    <row r="59" spans="1:12" x14ac:dyDescent="0.25">
      <c r="A59" t="s">
        <v>12</v>
      </c>
      <c r="B59" t="s">
        <v>12</v>
      </c>
      <c r="H59" s="115"/>
      <c r="J59" s="75"/>
    </row>
    <row r="60" spans="1:12" x14ac:dyDescent="0.25">
      <c r="A60" t="s">
        <v>90</v>
      </c>
      <c r="B60" t="s">
        <v>91</v>
      </c>
      <c r="C60" s="46"/>
      <c r="D60" s="46"/>
      <c r="E60" s="46"/>
      <c r="F60" s="46"/>
      <c r="G60" s="46"/>
      <c r="H60" s="116"/>
      <c r="J60" s="76"/>
      <c r="L60" s="46"/>
    </row>
    <row r="61" spans="1:12" x14ac:dyDescent="0.25">
      <c r="A61" t="s">
        <v>92</v>
      </c>
      <c r="B61" t="s">
        <v>93</v>
      </c>
      <c r="C61" s="45">
        <v>362884.2</v>
      </c>
      <c r="G61" s="45">
        <v>-362884.2</v>
      </c>
      <c r="H61" s="115">
        <v>698365.85000000009</v>
      </c>
      <c r="J61" s="75">
        <v>1146857.6000000001</v>
      </c>
      <c r="L61" s="45">
        <f>H61-J61</f>
        <v>-448491.75</v>
      </c>
    </row>
    <row r="62" spans="1:12" x14ac:dyDescent="0.25">
      <c r="A62" t="s">
        <v>94</v>
      </c>
      <c r="B62" t="s">
        <v>95</v>
      </c>
      <c r="C62" s="46">
        <v>362884.2</v>
      </c>
      <c r="D62" s="46"/>
      <c r="E62" s="46"/>
      <c r="F62" s="46"/>
      <c r="G62" s="46">
        <v>-362884.2</v>
      </c>
      <c r="H62" s="116">
        <v>698365.85000000009</v>
      </c>
      <c r="J62" s="76">
        <v>1151502.1000000001</v>
      </c>
      <c r="L62" s="46">
        <f>H62-J62</f>
        <v>-453136.25</v>
      </c>
    </row>
    <row r="63" spans="1:12" x14ac:dyDescent="0.25">
      <c r="A63" t="s">
        <v>12</v>
      </c>
      <c r="B63" t="s">
        <v>12</v>
      </c>
      <c r="H63" s="115"/>
      <c r="J63" s="75"/>
    </row>
    <row r="64" spans="1:12" x14ac:dyDescent="0.25">
      <c r="A64" t="s">
        <v>96</v>
      </c>
      <c r="B64" t="s">
        <v>97</v>
      </c>
      <c r="C64" s="46">
        <v>50249834.020000003</v>
      </c>
      <c r="D64" s="46">
        <v>96587272.180000007</v>
      </c>
      <c r="E64" s="46">
        <v>47.97</v>
      </c>
      <c r="F64" s="46">
        <v>52.03</v>
      </c>
      <c r="G64" s="46">
        <v>46337438.159999996</v>
      </c>
      <c r="H64" s="116">
        <v>86063854.460000008</v>
      </c>
      <c r="J64" s="76">
        <v>93628976.003931344</v>
      </c>
      <c r="L64" s="46">
        <f>H64-J64</f>
        <v>-7565121.5439313352</v>
      </c>
    </row>
    <row r="65" spans="1:12" x14ac:dyDescent="0.25">
      <c r="A65" t="s">
        <v>12</v>
      </c>
      <c r="B65" t="s">
        <v>12</v>
      </c>
      <c r="H65" s="115"/>
      <c r="J65" s="75"/>
    </row>
    <row r="66" spans="1:12" x14ac:dyDescent="0.25">
      <c r="A66" t="s">
        <v>98</v>
      </c>
      <c r="B66" t="s">
        <v>99</v>
      </c>
      <c r="C66" s="46"/>
      <c r="D66" s="46"/>
      <c r="E66" s="46"/>
      <c r="F66" s="46"/>
      <c r="G66" s="46"/>
      <c r="H66" s="116"/>
      <c r="J66" s="76"/>
      <c r="L66" s="46"/>
    </row>
    <row r="67" spans="1:12" x14ac:dyDescent="0.25">
      <c r="A67" t="s">
        <v>100</v>
      </c>
      <c r="B67" t="s">
        <v>101</v>
      </c>
      <c r="H67" s="115">
        <v>0</v>
      </c>
      <c r="J67" s="75">
        <v>0</v>
      </c>
      <c r="L67" s="45">
        <f>H67-J67</f>
        <v>0</v>
      </c>
    </row>
    <row r="68" spans="1:12" x14ac:dyDescent="0.25">
      <c r="A68" t="s">
        <v>102</v>
      </c>
      <c r="B68" t="s">
        <v>103</v>
      </c>
      <c r="H68" s="115">
        <v>0</v>
      </c>
      <c r="J68" s="75">
        <v>0</v>
      </c>
      <c r="L68" s="45">
        <f>H68-J68</f>
        <v>0</v>
      </c>
    </row>
    <row r="69" spans="1:12" x14ac:dyDescent="0.25">
      <c r="A69" t="s">
        <v>104</v>
      </c>
      <c r="B69" t="s">
        <v>105</v>
      </c>
      <c r="C69" s="46"/>
      <c r="D69" s="46"/>
      <c r="E69" s="46"/>
      <c r="F69" s="46"/>
      <c r="G69" s="46"/>
      <c r="H69" s="116">
        <v>0</v>
      </c>
      <c r="J69" s="76">
        <v>0</v>
      </c>
      <c r="L69" s="46">
        <f>H69-J69</f>
        <v>0</v>
      </c>
    </row>
    <row r="70" spans="1:12" x14ac:dyDescent="0.25">
      <c r="A70" t="s">
        <v>12</v>
      </c>
      <c r="B70" t="s">
        <v>12</v>
      </c>
      <c r="H70" s="115"/>
      <c r="J70" s="75"/>
    </row>
    <row r="71" spans="1:12" x14ac:dyDescent="0.25">
      <c r="A71" t="s">
        <v>106</v>
      </c>
      <c r="B71" t="s">
        <v>107</v>
      </c>
      <c r="C71" s="46"/>
      <c r="D71" s="46"/>
      <c r="E71" s="46"/>
      <c r="F71" s="46"/>
      <c r="G71" s="46"/>
      <c r="H71" s="116"/>
      <c r="J71" s="76"/>
      <c r="L71" s="46"/>
    </row>
    <row r="72" spans="1:12" x14ac:dyDescent="0.25">
      <c r="A72" t="s">
        <v>108</v>
      </c>
      <c r="B72" t="s">
        <v>109</v>
      </c>
      <c r="C72" s="45">
        <v>-67991</v>
      </c>
      <c r="D72" s="45">
        <v>-518200</v>
      </c>
      <c r="E72" s="45">
        <v>86.88</v>
      </c>
      <c r="F72" s="45">
        <v>13.12</v>
      </c>
      <c r="G72" s="45">
        <v>-450209</v>
      </c>
      <c r="H72" s="115">
        <v>-140000</v>
      </c>
      <c r="J72" s="75">
        <v>-518200</v>
      </c>
      <c r="L72" s="45">
        <f>H72-J72</f>
        <v>378200</v>
      </c>
    </row>
    <row r="73" spans="1:12" x14ac:dyDescent="0.25">
      <c r="A73" t="s">
        <v>110</v>
      </c>
      <c r="B73" t="s">
        <v>111</v>
      </c>
      <c r="C73" s="45">
        <v>-22937.919999999998</v>
      </c>
      <c r="G73" s="45">
        <v>22937.919999999998</v>
      </c>
      <c r="H73" s="115">
        <v>-22937.919999999998</v>
      </c>
      <c r="J73" s="75">
        <v>-22937.919999999998</v>
      </c>
      <c r="L73" s="45">
        <f>H73-J73</f>
        <v>0</v>
      </c>
    </row>
    <row r="74" spans="1:12" x14ac:dyDescent="0.25">
      <c r="A74" t="s">
        <v>112</v>
      </c>
      <c r="B74" t="s">
        <v>113</v>
      </c>
      <c r="C74" s="45">
        <v>-32724</v>
      </c>
      <c r="D74" s="45">
        <v>-37660</v>
      </c>
      <c r="E74" s="45">
        <v>13.11</v>
      </c>
      <c r="F74" s="45">
        <v>86.89</v>
      </c>
      <c r="G74" s="45">
        <v>-4936</v>
      </c>
      <c r="H74" s="115">
        <v>-51554</v>
      </c>
      <c r="J74" s="75">
        <v>-47373</v>
      </c>
      <c r="L74" s="45">
        <f>H74-J74</f>
        <v>-4181</v>
      </c>
    </row>
    <row r="75" spans="1:12" x14ac:dyDescent="0.25">
      <c r="A75" t="s">
        <v>114</v>
      </c>
      <c r="B75" t="s">
        <v>115</v>
      </c>
      <c r="C75" s="45">
        <v>-335577.22</v>
      </c>
      <c r="D75" s="45">
        <v>-495746</v>
      </c>
      <c r="E75" s="45">
        <v>32.31</v>
      </c>
      <c r="F75" s="45">
        <v>67.69</v>
      </c>
      <c r="G75" s="45">
        <v>-160168.78</v>
      </c>
      <c r="H75" s="115">
        <v>-647773.89</v>
      </c>
      <c r="J75" s="75">
        <v>-540172.14</v>
      </c>
      <c r="L75" s="45">
        <f>H75-J75</f>
        <v>-107601.75</v>
      </c>
    </row>
    <row r="76" spans="1:12" x14ac:dyDescent="0.25">
      <c r="A76" t="s">
        <v>116</v>
      </c>
      <c r="B76" t="s">
        <v>117</v>
      </c>
      <c r="C76" s="46">
        <v>-459230.14</v>
      </c>
      <c r="D76" s="46">
        <v>-1051606</v>
      </c>
      <c r="E76" s="46">
        <v>56.33</v>
      </c>
      <c r="F76" s="46">
        <v>43.67</v>
      </c>
      <c r="G76" s="46">
        <v>-592375.86</v>
      </c>
      <c r="H76" s="116">
        <v>-862265.81</v>
      </c>
      <c r="J76" s="76">
        <v>-1128683.06</v>
      </c>
      <c r="L76" s="46">
        <f>H76-J76</f>
        <v>266417.25</v>
      </c>
    </row>
    <row r="77" spans="1:12" x14ac:dyDescent="0.25">
      <c r="A77" t="s">
        <v>12</v>
      </c>
      <c r="B77" t="s">
        <v>12</v>
      </c>
      <c r="H77" s="115"/>
      <c r="J77" s="75"/>
    </row>
    <row r="78" spans="1:12" x14ac:dyDescent="0.25">
      <c r="A78" t="s">
        <v>118</v>
      </c>
      <c r="B78" t="s">
        <v>119</v>
      </c>
      <c r="C78" s="46"/>
      <c r="D78" s="46"/>
      <c r="E78" s="46"/>
      <c r="F78" s="46"/>
      <c r="G78" s="46"/>
      <c r="H78" s="116"/>
      <c r="J78" s="76"/>
      <c r="L78" s="46"/>
    </row>
    <row r="79" spans="1:12" x14ac:dyDescent="0.25">
      <c r="A79" t="s">
        <v>120</v>
      </c>
      <c r="B79" t="s">
        <v>121</v>
      </c>
      <c r="H79" s="115">
        <v>0</v>
      </c>
      <c r="J79" s="75">
        <v>0</v>
      </c>
      <c r="L79" s="45">
        <f>H79-J79</f>
        <v>0</v>
      </c>
    </row>
    <row r="80" spans="1:12" x14ac:dyDescent="0.25">
      <c r="A80" t="s">
        <v>122</v>
      </c>
      <c r="B80" t="s">
        <v>123</v>
      </c>
      <c r="H80" s="115">
        <v>0</v>
      </c>
      <c r="J80" s="75">
        <v>0</v>
      </c>
      <c r="L80" s="45">
        <f>H80-J80</f>
        <v>0</v>
      </c>
    </row>
    <row r="81" spans="1:12" x14ac:dyDescent="0.25">
      <c r="A81" t="s">
        <v>124</v>
      </c>
      <c r="B81" t="s">
        <v>125</v>
      </c>
      <c r="C81" s="46"/>
      <c r="D81" s="46"/>
      <c r="E81" s="46"/>
      <c r="F81" s="46"/>
      <c r="G81" s="46"/>
      <c r="H81" s="116">
        <v>0</v>
      </c>
      <c r="J81" s="76">
        <v>0</v>
      </c>
      <c r="L81" s="46">
        <f>H81-J81</f>
        <v>0</v>
      </c>
    </row>
    <row r="82" spans="1:12" x14ac:dyDescent="0.25">
      <c r="A82" t="s">
        <v>12</v>
      </c>
      <c r="B82" t="s">
        <v>12</v>
      </c>
      <c r="H82" s="115"/>
      <c r="J82" s="75"/>
    </row>
    <row r="83" spans="1:12" x14ac:dyDescent="0.25">
      <c r="A83" t="s">
        <v>126</v>
      </c>
      <c r="B83" t="s">
        <v>30</v>
      </c>
      <c r="C83" s="46"/>
      <c r="D83" s="46"/>
      <c r="E83" s="46"/>
      <c r="F83" s="46"/>
      <c r="G83" s="46"/>
      <c r="H83" s="116"/>
      <c r="J83" s="76"/>
      <c r="L83" s="46"/>
    </row>
    <row r="84" spans="1:12" x14ac:dyDescent="0.25">
      <c r="A84" t="s">
        <v>127</v>
      </c>
      <c r="B84" t="s">
        <v>128</v>
      </c>
      <c r="H84" s="115">
        <v>0</v>
      </c>
      <c r="J84" s="75">
        <v>0</v>
      </c>
      <c r="L84" s="45">
        <f t="shared" ref="L84:L106" si="3">H84-J84</f>
        <v>0</v>
      </c>
    </row>
    <row r="85" spans="1:12" x14ac:dyDescent="0.25">
      <c r="A85" t="s">
        <v>129</v>
      </c>
      <c r="B85" t="s">
        <v>130</v>
      </c>
      <c r="C85" s="45">
        <v>-447361.2</v>
      </c>
      <c r="D85" s="45">
        <v>-1042434.9</v>
      </c>
      <c r="E85" s="45">
        <v>57.08</v>
      </c>
      <c r="F85" s="45">
        <v>42.92</v>
      </c>
      <c r="G85" s="45">
        <v>-595073.69999999995</v>
      </c>
      <c r="H85" s="115">
        <v>-894722.4</v>
      </c>
      <c r="J85" s="75">
        <v>-919180.80000000005</v>
      </c>
      <c r="L85" s="45">
        <f t="shared" si="3"/>
        <v>24458.400000000023</v>
      </c>
    </row>
    <row r="86" spans="1:12" x14ac:dyDescent="0.25">
      <c r="A86" t="s">
        <v>131</v>
      </c>
      <c r="B86" t="s">
        <v>132</v>
      </c>
      <c r="H86" s="115">
        <v>0</v>
      </c>
      <c r="J86" s="75">
        <v>0</v>
      </c>
      <c r="L86" s="45">
        <f t="shared" si="3"/>
        <v>0</v>
      </c>
    </row>
    <row r="87" spans="1:12" x14ac:dyDescent="0.25">
      <c r="A87" t="s">
        <v>133</v>
      </c>
      <c r="B87" t="s">
        <v>134</v>
      </c>
      <c r="C87" s="45">
        <v>-25043.32</v>
      </c>
      <c r="G87" s="45">
        <v>25043.32</v>
      </c>
      <c r="H87" s="115">
        <v>-25043.32</v>
      </c>
      <c r="J87" s="75">
        <v>-25043.32</v>
      </c>
      <c r="L87" s="45">
        <f t="shared" si="3"/>
        <v>0</v>
      </c>
    </row>
    <row r="88" spans="1:12" x14ac:dyDescent="0.25">
      <c r="A88" t="s">
        <v>135</v>
      </c>
      <c r="B88" t="s">
        <v>136</v>
      </c>
      <c r="C88" s="45">
        <v>25043.32</v>
      </c>
      <c r="G88" s="45">
        <v>-25043.32</v>
      </c>
      <c r="H88" s="115">
        <v>25043.32</v>
      </c>
      <c r="J88" s="75">
        <v>25043.32</v>
      </c>
      <c r="L88" s="45">
        <f t="shared" si="3"/>
        <v>0</v>
      </c>
    </row>
    <row r="89" spans="1:12" x14ac:dyDescent="0.25">
      <c r="A89" t="s">
        <v>137</v>
      </c>
      <c r="B89" t="s">
        <v>138</v>
      </c>
      <c r="C89" s="45">
        <v>-32752461.84</v>
      </c>
      <c r="D89" s="45">
        <v>-58924213.310000002</v>
      </c>
      <c r="E89" s="45">
        <v>44.42</v>
      </c>
      <c r="F89" s="45">
        <v>55.58</v>
      </c>
      <c r="G89" s="45">
        <v>-26171751.469999999</v>
      </c>
      <c r="H89" s="115">
        <v>-56845269.530000001</v>
      </c>
      <c r="J89" s="75">
        <v>-59129226.380000003</v>
      </c>
      <c r="L89" s="45">
        <f t="shared" si="3"/>
        <v>2283956.8500000015</v>
      </c>
    </row>
    <row r="90" spans="1:12" x14ac:dyDescent="0.25">
      <c r="A90" t="s">
        <v>139</v>
      </c>
      <c r="B90" t="s">
        <v>140</v>
      </c>
      <c r="H90" s="115">
        <v>0</v>
      </c>
      <c r="J90" s="75">
        <v>0</v>
      </c>
      <c r="L90" s="45">
        <f t="shared" si="3"/>
        <v>0</v>
      </c>
    </row>
    <row r="91" spans="1:12" x14ac:dyDescent="0.25">
      <c r="A91" t="s">
        <v>141</v>
      </c>
      <c r="B91" t="s">
        <v>142</v>
      </c>
      <c r="H91" s="115">
        <v>0</v>
      </c>
      <c r="J91" s="75">
        <v>0</v>
      </c>
      <c r="L91" s="45">
        <f t="shared" si="3"/>
        <v>0</v>
      </c>
    </row>
    <row r="92" spans="1:12" x14ac:dyDescent="0.25">
      <c r="A92" t="s">
        <v>143</v>
      </c>
      <c r="B92" t="s">
        <v>144</v>
      </c>
      <c r="H92" s="115">
        <v>0</v>
      </c>
      <c r="J92" s="75">
        <v>0</v>
      </c>
      <c r="L92" s="45">
        <f t="shared" si="3"/>
        <v>0</v>
      </c>
    </row>
    <row r="93" spans="1:12" x14ac:dyDescent="0.25">
      <c r="A93" t="s">
        <v>145</v>
      </c>
      <c r="B93" t="s">
        <v>146</v>
      </c>
      <c r="C93" s="45">
        <v>448.84</v>
      </c>
      <c r="G93" s="45">
        <v>-448.84</v>
      </c>
      <c r="H93" s="115">
        <v>-219551.15999999997</v>
      </c>
      <c r="J93" s="75">
        <v>-207551.15999999997</v>
      </c>
      <c r="L93" s="45">
        <f t="shared" si="3"/>
        <v>-12000</v>
      </c>
    </row>
    <row r="94" spans="1:12" x14ac:dyDescent="0.25">
      <c r="A94" t="s">
        <v>147</v>
      </c>
      <c r="B94" t="s">
        <v>148</v>
      </c>
      <c r="C94" s="45">
        <v>-154694.1</v>
      </c>
      <c r="G94" s="45">
        <v>154694.1</v>
      </c>
      <c r="H94" s="115">
        <v>-154694.1</v>
      </c>
      <c r="J94" s="75">
        <v>-336981.98000000004</v>
      </c>
      <c r="L94" s="45">
        <f t="shared" si="3"/>
        <v>182287.88000000003</v>
      </c>
    </row>
    <row r="95" spans="1:12" x14ac:dyDescent="0.25">
      <c r="A95" t="s">
        <v>149</v>
      </c>
      <c r="B95" t="s">
        <v>150</v>
      </c>
      <c r="H95" s="115">
        <v>0</v>
      </c>
      <c r="J95" s="75">
        <v>0</v>
      </c>
      <c r="L95" s="45">
        <f t="shared" si="3"/>
        <v>0</v>
      </c>
    </row>
    <row r="96" spans="1:12" x14ac:dyDescent="0.25">
      <c r="A96" t="s">
        <v>151</v>
      </c>
      <c r="B96" t="s">
        <v>152</v>
      </c>
      <c r="H96" s="115">
        <v>0</v>
      </c>
      <c r="J96" s="75">
        <v>0</v>
      </c>
      <c r="L96" s="45">
        <f t="shared" si="3"/>
        <v>0</v>
      </c>
    </row>
    <row r="97" spans="1:12" x14ac:dyDescent="0.25">
      <c r="A97" t="s">
        <v>153</v>
      </c>
      <c r="B97" t="s">
        <v>154</v>
      </c>
      <c r="H97" s="115">
        <v>0</v>
      </c>
      <c r="J97" s="75">
        <v>0</v>
      </c>
      <c r="L97" s="45">
        <f t="shared" si="3"/>
        <v>0</v>
      </c>
    </row>
    <row r="98" spans="1:12" x14ac:dyDescent="0.25">
      <c r="A98" t="s">
        <v>155</v>
      </c>
      <c r="B98" t="s">
        <v>156</v>
      </c>
      <c r="H98" s="115">
        <v>0</v>
      </c>
      <c r="J98" s="75">
        <v>0</v>
      </c>
      <c r="L98" s="45">
        <f t="shared" si="3"/>
        <v>0</v>
      </c>
    </row>
    <row r="99" spans="1:12" x14ac:dyDescent="0.25">
      <c r="A99" t="s">
        <v>157</v>
      </c>
      <c r="B99" t="s">
        <v>158</v>
      </c>
      <c r="H99" s="115">
        <v>0</v>
      </c>
      <c r="J99" s="75">
        <v>0</v>
      </c>
      <c r="L99" s="45">
        <f t="shared" si="3"/>
        <v>0</v>
      </c>
    </row>
    <row r="100" spans="1:12" x14ac:dyDescent="0.25">
      <c r="A100" t="s">
        <v>159</v>
      </c>
      <c r="B100" t="s">
        <v>160</v>
      </c>
      <c r="H100" s="115">
        <v>0</v>
      </c>
      <c r="J100" s="75">
        <v>0</v>
      </c>
      <c r="L100" s="45">
        <f t="shared" si="3"/>
        <v>0</v>
      </c>
    </row>
    <row r="101" spans="1:12" x14ac:dyDescent="0.25">
      <c r="A101" t="s">
        <v>161</v>
      </c>
      <c r="B101" t="s">
        <v>162</v>
      </c>
      <c r="H101" s="115">
        <v>0</v>
      </c>
      <c r="J101" s="75">
        <v>0</v>
      </c>
      <c r="L101" s="45">
        <f t="shared" si="3"/>
        <v>0</v>
      </c>
    </row>
    <row r="102" spans="1:12" x14ac:dyDescent="0.25">
      <c r="A102" t="s">
        <v>163</v>
      </c>
      <c r="B102" t="s">
        <v>164</v>
      </c>
      <c r="C102" s="45">
        <v>-71400</v>
      </c>
      <c r="D102" s="45">
        <v>-26873.33</v>
      </c>
      <c r="E102" s="45">
        <v>-165.69</v>
      </c>
      <c r="F102" s="45">
        <v>265.69</v>
      </c>
      <c r="G102" s="45">
        <v>44526.67</v>
      </c>
      <c r="H102" s="115">
        <v>-142800</v>
      </c>
      <c r="J102" s="75">
        <v>-142800</v>
      </c>
      <c r="L102" s="45">
        <f t="shared" si="3"/>
        <v>0</v>
      </c>
    </row>
    <row r="103" spans="1:12" x14ac:dyDescent="0.25">
      <c r="A103" t="s">
        <v>165</v>
      </c>
      <c r="B103" t="s">
        <v>166</v>
      </c>
      <c r="H103" s="115">
        <v>0</v>
      </c>
      <c r="J103" s="75">
        <v>0</v>
      </c>
      <c r="L103" s="45">
        <f t="shared" si="3"/>
        <v>0</v>
      </c>
    </row>
    <row r="104" spans="1:12" x14ac:dyDescent="0.25">
      <c r="A104" t="s">
        <v>167</v>
      </c>
      <c r="B104" t="s">
        <v>168</v>
      </c>
      <c r="H104" s="115">
        <v>0</v>
      </c>
      <c r="J104" s="75">
        <v>0</v>
      </c>
      <c r="L104" s="45">
        <f t="shared" si="3"/>
        <v>0</v>
      </c>
    </row>
    <row r="105" spans="1:12" x14ac:dyDescent="0.25">
      <c r="A105" t="s">
        <v>169</v>
      </c>
      <c r="B105" t="s">
        <v>170</v>
      </c>
      <c r="C105" s="45">
        <v>802300.14</v>
      </c>
      <c r="G105" s="45">
        <v>-802300.14</v>
      </c>
      <c r="H105" s="115">
        <v>802300.14</v>
      </c>
      <c r="J105" s="75">
        <v>802300.1399999999</v>
      </c>
      <c r="L105" s="45">
        <f t="shared" si="3"/>
        <v>0</v>
      </c>
    </row>
    <row r="106" spans="1:12" x14ac:dyDescent="0.25">
      <c r="A106" t="s">
        <v>171</v>
      </c>
      <c r="B106" t="s">
        <v>172</v>
      </c>
      <c r="C106" s="46">
        <v>-32623168.16</v>
      </c>
      <c r="D106" s="46">
        <v>-59993521.539999999</v>
      </c>
      <c r="E106" s="46">
        <v>45.62</v>
      </c>
      <c r="F106" s="46">
        <v>54.38</v>
      </c>
      <c r="G106" s="46">
        <v>-27370353.379999999</v>
      </c>
      <c r="H106" s="116">
        <v>-57454737.050000004</v>
      </c>
      <c r="J106" s="76">
        <v>-59933440.180000007</v>
      </c>
      <c r="L106" s="46">
        <f t="shared" si="3"/>
        <v>2478703.1300000027</v>
      </c>
    </row>
    <row r="107" spans="1:12" x14ac:dyDescent="0.25">
      <c r="A107" t="s">
        <v>12</v>
      </c>
      <c r="B107" t="s">
        <v>12</v>
      </c>
      <c r="H107" s="115"/>
      <c r="J107" s="75"/>
    </row>
    <row r="108" spans="1:12" x14ac:dyDescent="0.25">
      <c r="A108" t="s">
        <v>173</v>
      </c>
      <c r="B108" t="s">
        <v>174</v>
      </c>
      <c r="C108" s="46"/>
      <c r="D108" s="46"/>
      <c r="E108" s="46"/>
      <c r="F108" s="46"/>
      <c r="G108" s="46"/>
      <c r="H108" s="116"/>
      <c r="J108" s="76"/>
      <c r="L108" s="46"/>
    </row>
    <row r="109" spans="1:12" x14ac:dyDescent="0.25">
      <c r="A109" t="s">
        <v>175</v>
      </c>
      <c r="B109" t="s">
        <v>174</v>
      </c>
      <c r="C109" s="45">
        <v>-5419886.8300000001</v>
      </c>
      <c r="D109" s="45">
        <v>-11851711.15</v>
      </c>
      <c r="E109" s="45">
        <v>54.27</v>
      </c>
      <c r="F109" s="45">
        <v>45.73</v>
      </c>
      <c r="G109" s="45">
        <v>-6431824.3200000003</v>
      </c>
      <c r="H109" s="115">
        <v>-11743873.509999998</v>
      </c>
      <c r="J109" s="75">
        <v>-11935089.939999999</v>
      </c>
      <c r="L109" s="45">
        <f>H109-J109</f>
        <v>191216.43000000156</v>
      </c>
    </row>
    <row r="110" spans="1:12" x14ac:dyDescent="0.25">
      <c r="A110" t="s">
        <v>176</v>
      </c>
      <c r="B110" t="s">
        <v>177</v>
      </c>
      <c r="H110" s="115">
        <v>0</v>
      </c>
      <c r="J110" s="75">
        <v>0</v>
      </c>
      <c r="L110" s="45">
        <f>H110-J110</f>
        <v>0</v>
      </c>
    </row>
    <row r="111" spans="1:12" x14ac:dyDescent="0.25">
      <c r="A111" t="s">
        <v>178</v>
      </c>
      <c r="B111" t="s">
        <v>179</v>
      </c>
      <c r="C111" s="46">
        <v>-5419886.8300000001</v>
      </c>
      <c r="D111" s="46">
        <v>-11851711.15</v>
      </c>
      <c r="E111" s="46">
        <v>54.27</v>
      </c>
      <c r="F111" s="46">
        <v>45.73</v>
      </c>
      <c r="G111" s="46">
        <v>-6431824.3200000003</v>
      </c>
      <c r="H111" s="116">
        <v>-11743873.509999998</v>
      </c>
      <c r="J111" s="76">
        <v>-11935089.939999999</v>
      </c>
      <c r="L111" s="46">
        <f>H111-J111</f>
        <v>191216.43000000156</v>
      </c>
    </row>
    <row r="112" spans="1:12" x14ac:dyDescent="0.25">
      <c r="A112" t="s">
        <v>12</v>
      </c>
      <c r="B112" t="s">
        <v>12</v>
      </c>
      <c r="H112" s="115"/>
      <c r="J112" s="75"/>
    </row>
    <row r="113" spans="1:12" x14ac:dyDescent="0.25">
      <c r="A113" t="s">
        <v>180</v>
      </c>
      <c r="B113" t="s">
        <v>181</v>
      </c>
      <c r="C113" s="46"/>
      <c r="D113" s="46"/>
      <c r="E113" s="46"/>
      <c r="F113" s="46"/>
      <c r="G113" s="46"/>
      <c r="H113" s="116"/>
      <c r="J113" s="76"/>
      <c r="L113" s="46"/>
    </row>
    <row r="114" spans="1:12" x14ac:dyDescent="0.25">
      <c r="A114" t="s">
        <v>182</v>
      </c>
      <c r="B114" t="s">
        <v>183</v>
      </c>
      <c r="C114" s="45">
        <v>3633580.92</v>
      </c>
      <c r="D114" s="45">
        <v>5075121</v>
      </c>
      <c r="E114" s="45">
        <v>28.4</v>
      </c>
      <c r="F114" s="45">
        <v>71.599999999999994</v>
      </c>
      <c r="G114" s="45">
        <v>1441540.08</v>
      </c>
      <c r="H114" s="115">
        <v>7267161.8399999999</v>
      </c>
      <c r="J114" s="75">
        <v>7555509.1999999993</v>
      </c>
      <c r="L114" s="45">
        <f t="shared" ref="L114:L121" si="4">H114-J114</f>
        <v>-288347.3599999994</v>
      </c>
    </row>
    <row r="115" spans="1:12" x14ac:dyDescent="0.25">
      <c r="A115" t="s">
        <v>184</v>
      </c>
      <c r="B115" t="s">
        <v>185</v>
      </c>
      <c r="C115" s="45">
        <v>1000952.81</v>
      </c>
      <c r="G115" s="45">
        <v>-1000952.81</v>
      </c>
      <c r="H115" s="115">
        <v>1000952.81</v>
      </c>
      <c r="J115" s="75">
        <v>1006756.54</v>
      </c>
      <c r="L115" s="45">
        <f t="shared" si="4"/>
        <v>-5803.7299999999814</v>
      </c>
    </row>
    <row r="116" spans="1:12" x14ac:dyDescent="0.25">
      <c r="A116" t="s">
        <v>186</v>
      </c>
      <c r="B116" t="s">
        <v>187</v>
      </c>
      <c r="H116" s="115">
        <v>0</v>
      </c>
      <c r="J116" s="75">
        <v>0</v>
      </c>
      <c r="L116" s="45">
        <f t="shared" si="4"/>
        <v>0</v>
      </c>
    </row>
    <row r="117" spans="1:12" x14ac:dyDescent="0.25">
      <c r="A117" t="s">
        <v>188</v>
      </c>
      <c r="B117" t="s">
        <v>189</v>
      </c>
      <c r="C117" s="45">
        <v>130088.37</v>
      </c>
      <c r="G117" s="45">
        <v>-130088.37</v>
      </c>
      <c r="H117" s="115">
        <v>130088.37</v>
      </c>
      <c r="J117" s="75">
        <v>51851.8</v>
      </c>
      <c r="L117" s="45">
        <f t="shared" si="4"/>
        <v>78236.569999999992</v>
      </c>
    </row>
    <row r="118" spans="1:12" x14ac:dyDescent="0.25">
      <c r="A118" t="s">
        <v>190</v>
      </c>
      <c r="B118" t="s">
        <v>191</v>
      </c>
      <c r="H118" s="115">
        <v>0</v>
      </c>
      <c r="J118" s="75">
        <v>0</v>
      </c>
      <c r="L118" s="45">
        <f t="shared" si="4"/>
        <v>0</v>
      </c>
    </row>
    <row r="119" spans="1:12" x14ac:dyDescent="0.25">
      <c r="A119" t="s">
        <v>192</v>
      </c>
      <c r="B119" t="s">
        <v>193</v>
      </c>
      <c r="C119" s="45">
        <v>93154.92</v>
      </c>
      <c r="G119" s="45">
        <v>-93154.92</v>
      </c>
      <c r="H119" s="115">
        <v>93154.92</v>
      </c>
      <c r="J119" s="75">
        <v>0</v>
      </c>
      <c r="L119" s="45">
        <f t="shared" si="4"/>
        <v>93154.92</v>
      </c>
    </row>
    <row r="120" spans="1:12" x14ac:dyDescent="0.25">
      <c r="A120" t="s">
        <v>194</v>
      </c>
      <c r="B120" t="s">
        <v>195</v>
      </c>
      <c r="C120" s="45">
        <v>121482.11</v>
      </c>
      <c r="G120" s="45">
        <v>-121482.11</v>
      </c>
      <c r="H120" s="115">
        <v>121482.11</v>
      </c>
      <c r="J120" s="75">
        <v>0</v>
      </c>
      <c r="L120" s="45">
        <f t="shared" si="4"/>
        <v>121482.11</v>
      </c>
    </row>
    <row r="121" spans="1:12" x14ac:dyDescent="0.25">
      <c r="A121" t="s">
        <v>196</v>
      </c>
      <c r="B121" t="s">
        <v>197</v>
      </c>
      <c r="C121" s="46">
        <v>4979259.13</v>
      </c>
      <c r="D121" s="46">
        <v>5075121</v>
      </c>
      <c r="E121" s="46">
        <v>1.89</v>
      </c>
      <c r="F121" s="46">
        <v>98.11</v>
      </c>
      <c r="G121" s="46">
        <v>95861.87</v>
      </c>
      <c r="H121" s="116">
        <v>8612840.0499999989</v>
      </c>
      <c r="J121" s="76">
        <v>8614117.5399999991</v>
      </c>
      <c r="L121" s="46">
        <f t="shared" si="4"/>
        <v>-1277.4900000002235</v>
      </c>
    </row>
    <row r="122" spans="1:12" x14ac:dyDescent="0.25">
      <c r="A122" t="s">
        <v>198</v>
      </c>
      <c r="B122" t="s">
        <v>199</v>
      </c>
      <c r="C122" s="46">
        <v>-33063795.859999999</v>
      </c>
      <c r="D122" s="46">
        <v>-66770111.689999998</v>
      </c>
      <c r="E122" s="46">
        <v>50.48</v>
      </c>
      <c r="F122" s="46">
        <v>49.52</v>
      </c>
      <c r="G122" s="46">
        <v>-33706315.829999998</v>
      </c>
      <c r="H122" s="116">
        <v>-60585770.510000005</v>
      </c>
      <c r="J122" s="76">
        <v>-63254412.579999998</v>
      </c>
      <c r="L122" s="46">
        <f>H122-J122</f>
        <v>2668642.0699999928</v>
      </c>
    </row>
    <row r="123" spans="1:12" x14ac:dyDescent="0.25">
      <c r="A123" t="s">
        <v>12</v>
      </c>
      <c r="B123" t="s">
        <v>12</v>
      </c>
      <c r="H123" s="115"/>
      <c r="J123" s="75"/>
    </row>
    <row r="124" spans="1:12" x14ac:dyDescent="0.25">
      <c r="A124" t="s">
        <v>200</v>
      </c>
      <c r="B124" t="s">
        <v>201</v>
      </c>
      <c r="C124" s="46">
        <v>-33523026</v>
      </c>
      <c r="D124" s="46">
        <v>-67821717.689999998</v>
      </c>
      <c r="E124" s="46">
        <v>50.57</v>
      </c>
      <c r="F124" s="46">
        <v>49.43</v>
      </c>
      <c r="G124" s="46">
        <v>-34298691.689999998</v>
      </c>
      <c r="H124" s="116">
        <v>-61448036.320000008</v>
      </c>
      <c r="J124" s="76">
        <v>-64383095.640000001</v>
      </c>
      <c r="L124" s="46">
        <f>H124-J124</f>
        <v>2935059.3199999928</v>
      </c>
    </row>
    <row r="125" spans="1:12" x14ac:dyDescent="0.25">
      <c r="A125" t="s">
        <v>12</v>
      </c>
      <c r="B125" t="s">
        <v>12</v>
      </c>
      <c r="H125" s="115"/>
      <c r="J125" s="75"/>
      <c r="L125" s="45">
        <f>H125-J125</f>
        <v>0</v>
      </c>
    </row>
    <row r="126" spans="1:12" x14ac:dyDescent="0.25">
      <c r="A126" t="s">
        <v>202</v>
      </c>
      <c r="B126" t="s">
        <v>203</v>
      </c>
      <c r="C126" s="46">
        <v>16726808.02</v>
      </c>
      <c r="D126" s="46">
        <v>28765554.489999998</v>
      </c>
      <c r="E126" s="46">
        <v>41.85</v>
      </c>
      <c r="F126" s="46">
        <v>58.15</v>
      </c>
      <c r="G126" s="46">
        <v>12038746.470000001</v>
      </c>
      <c r="H126" s="116">
        <v>24615818.139999993</v>
      </c>
      <c r="J126" s="76">
        <v>29245880.363931339</v>
      </c>
      <c r="L126" s="46">
        <f>H126-J126</f>
        <v>-4630062.2239313461</v>
      </c>
    </row>
    <row r="127" spans="1:12" x14ac:dyDescent="0.25">
      <c r="A127" t="s">
        <v>12</v>
      </c>
      <c r="B127" t="s">
        <v>12</v>
      </c>
      <c r="H127" s="115"/>
      <c r="J127" s="75"/>
    </row>
    <row r="128" spans="1:12" x14ac:dyDescent="0.25">
      <c r="A128" t="s">
        <v>204</v>
      </c>
      <c r="B128" t="s">
        <v>205</v>
      </c>
      <c r="C128" s="46"/>
      <c r="D128" s="46"/>
      <c r="E128" s="46"/>
      <c r="F128" s="46"/>
      <c r="G128" s="46"/>
      <c r="H128" s="116"/>
      <c r="J128" s="76"/>
      <c r="L128" s="46"/>
    </row>
    <row r="129" spans="1:12" x14ac:dyDescent="0.25">
      <c r="A129" t="s">
        <v>206</v>
      </c>
      <c r="B129" t="s">
        <v>207</v>
      </c>
      <c r="C129" s="45">
        <v>67544.899999999994</v>
      </c>
      <c r="D129" s="45">
        <v>580143.63</v>
      </c>
      <c r="E129" s="45">
        <v>88.36</v>
      </c>
      <c r="F129" s="45">
        <v>11.64</v>
      </c>
      <c r="G129" s="45">
        <v>512598.73</v>
      </c>
      <c r="H129" s="115">
        <v>580143.63</v>
      </c>
      <c r="J129" s="75">
        <v>580143.63</v>
      </c>
      <c r="L129" s="45">
        <f t="shared" ref="L129:L135" si="5">H129-J129</f>
        <v>0</v>
      </c>
    </row>
    <row r="130" spans="1:12" x14ac:dyDescent="0.25">
      <c r="A130" t="s">
        <v>208</v>
      </c>
      <c r="B130" t="s">
        <v>209</v>
      </c>
      <c r="C130" s="45">
        <v>1103518.27</v>
      </c>
      <c r="D130" s="45">
        <v>83204.73</v>
      </c>
      <c r="E130" s="45">
        <v>-1226.27</v>
      </c>
      <c r="F130" s="45">
        <v>1326.27</v>
      </c>
      <c r="G130" s="45">
        <v>-1020313.54</v>
      </c>
      <c r="H130" s="115">
        <v>1103518.2700000005</v>
      </c>
      <c r="J130" s="75">
        <v>118779.37999999999</v>
      </c>
      <c r="L130" s="45">
        <f t="shared" si="5"/>
        <v>984738.89000000048</v>
      </c>
    </row>
    <row r="131" spans="1:12" x14ac:dyDescent="0.25">
      <c r="A131" t="s">
        <v>210</v>
      </c>
      <c r="B131" t="s">
        <v>211</v>
      </c>
      <c r="D131" s="45">
        <v>150000</v>
      </c>
      <c r="E131" s="45">
        <v>100</v>
      </c>
      <c r="G131" s="45">
        <v>150000</v>
      </c>
      <c r="H131" s="115">
        <v>0</v>
      </c>
      <c r="J131" s="75">
        <v>0</v>
      </c>
      <c r="L131" s="45">
        <f t="shared" si="5"/>
        <v>0</v>
      </c>
    </row>
    <row r="132" spans="1:12" x14ac:dyDescent="0.25">
      <c r="A132" t="s">
        <v>212</v>
      </c>
      <c r="B132" t="s">
        <v>213</v>
      </c>
      <c r="H132" s="115">
        <v>0</v>
      </c>
      <c r="J132" s="75">
        <v>0</v>
      </c>
      <c r="L132" s="45">
        <f t="shared" si="5"/>
        <v>0</v>
      </c>
    </row>
    <row r="133" spans="1:12" x14ac:dyDescent="0.25">
      <c r="A133" t="s">
        <v>214</v>
      </c>
      <c r="B133" t="s">
        <v>215</v>
      </c>
      <c r="H133" s="115">
        <v>0</v>
      </c>
      <c r="J133" s="75">
        <v>0</v>
      </c>
      <c r="L133" s="45">
        <f t="shared" si="5"/>
        <v>0</v>
      </c>
    </row>
    <row r="134" spans="1:12" x14ac:dyDescent="0.25">
      <c r="A134" t="s">
        <v>216</v>
      </c>
      <c r="B134" t="s">
        <v>217</v>
      </c>
      <c r="C134" s="45">
        <v>15000</v>
      </c>
      <c r="G134" s="45">
        <v>-15000</v>
      </c>
      <c r="H134" s="115">
        <v>15000</v>
      </c>
      <c r="J134" s="75">
        <v>15000</v>
      </c>
      <c r="L134" s="45">
        <f t="shared" si="5"/>
        <v>0</v>
      </c>
    </row>
    <row r="135" spans="1:12" x14ac:dyDescent="0.25">
      <c r="A135" t="s">
        <v>218</v>
      </c>
      <c r="B135" t="s">
        <v>219</v>
      </c>
      <c r="C135" s="46">
        <v>1186063.17</v>
      </c>
      <c r="D135" s="46">
        <v>813348.36</v>
      </c>
      <c r="E135" s="46">
        <v>-45.82</v>
      </c>
      <c r="F135" s="46">
        <v>145.82</v>
      </c>
      <c r="G135" s="46">
        <v>-372714.81</v>
      </c>
      <c r="H135" s="116">
        <v>1698661.9</v>
      </c>
      <c r="J135" s="76">
        <v>713923.00999999989</v>
      </c>
      <c r="L135" s="46">
        <f t="shared" si="5"/>
        <v>984738.89</v>
      </c>
    </row>
    <row r="136" spans="1:12" x14ac:dyDescent="0.25">
      <c r="A136" t="s">
        <v>12</v>
      </c>
      <c r="B136" t="s">
        <v>12</v>
      </c>
      <c r="H136" s="115"/>
      <c r="J136" s="75"/>
    </row>
    <row r="137" spans="1:12" x14ac:dyDescent="0.25">
      <c r="A137" t="s">
        <v>220</v>
      </c>
      <c r="B137" t="s">
        <v>221</v>
      </c>
      <c r="C137" s="46"/>
      <c r="D137" s="46"/>
      <c r="E137" s="46"/>
      <c r="F137" s="46"/>
      <c r="G137" s="46"/>
      <c r="H137" s="116"/>
      <c r="J137" s="76"/>
      <c r="L137" s="46"/>
    </row>
    <row r="138" spans="1:12" x14ac:dyDescent="0.25">
      <c r="A138" t="s">
        <v>222</v>
      </c>
      <c r="B138" t="s">
        <v>223</v>
      </c>
      <c r="D138" s="45">
        <v>-4000000</v>
      </c>
      <c r="E138" s="45">
        <v>100</v>
      </c>
      <c r="G138" s="45">
        <v>-4000000</v>
      </c>
      <c r="H138" s="115">
        <v>-2000000</v>
      </c>
      <c r="J138" s="75">
        <v>-7000000</v>
      </c>
      <c r="L138" s="74">
        <f t="shared" ref="L138:L197" si="6">H138-J138</f>
        <v>5000000</v>
      </c>
    </row>
    <row r="139" spans="1:12" x14ac:dyDescent="0.25">
      <c r="A139" t="s">
        <v>224</v>
      </c>
      <c r="B139" t="s">
        <v>225</v>
      </c>
      <c r="H139" s="115">
        <v>0</v>
      </c>
      <c r="J139" s="75">
        <v>0</v>
      </c>
      <c r="L139" s="45">
        <f t="shared" si="6"/>
        <v>0</v>
      </c>
    </row>
    <row r="140" spans="1:12" x14ac:dyDescent="0.25">
      <c r="A140" t="s">
        <v>226</v>
      </c>
      <c r="B140" t="s">
        <v>227</v>
      </c>
      <c r="C140" s="45">
        <v>-2035138.09</v>
      </c>
      <c r="D140" s="45">
        <v>-3926274.64</v>
      </c>
      <c r="E140" s="45">
        <v>48.17</v>
      </c>
      <c r="F140" s="45">
        <v>51.83</v>
      </c>
      <c r="G140" s="45">
        <v>-1891136.55</v>
      </c>
      <c r="H140" s="115">
        <v>-9974209.9399999976</v>
      </c>
      <c r="J140" s="75">
        <v>-20287746.989999998</v>
      </c>
      <c r="L140" s="45">
        <f t="shared" si="6"/>
        <v>10313537.050000001</v>
      </c>
    </row>
    <row r="141" spans="1:12" x14ac:dyDescent="0.25">
      <c r="A141" t="s">
        <v>228</v>
      </c>
      <c r="B141" t="s">
        <v>229</v>
      </c>
      <c r="C141" s="45">
        <v>2035138.09</v>
      </c>
      <c r="D141" s="45">
        <v>3926274.64</v>
      </c>
      <c r="E141" s="45">
        <v>48.17</v>
      </c>
      <c r="F141" s="45">
        <v>51.83</v>
      </c>
      <c r="G141" s="45">
        <v>1891136.55</v>
      </c>
      <c r="H141" s="115">
        <v>9974209.9399999976</v>
      </c>
      <c r="J141" s="75">
        <v>20287746.989999998</v>
      </c>
      <c r="L141" s="45">
        <f t="shared" si="6"/>
        <v>-10313537.050000001</v>
      </c>
    </row>
    <row r="142" spans="1:12" x14ac:dyDescent="0.25">
      <c r="A142" t="s">
        <v>230</v>
      </c>
      <c r="B142" t="s">
        <v>231</v>
      </c>
      <c r="C142" s="45">
        <v>-4140.8</v>
      </c>
      <c r="D142" s="45">
        <v>-7000</v>
      </c>
      <c r="E142" s="45">
        <v>40.85</v>
      </c>
      <c r="F142" s="45">
        <v>59.15</v>
      </c>
      <c r="G142" s="45">
        <v>-2859.2</v>
      </c>
      <c r="H142" s="115">
        <v>-10260.799999999999</v>
      </c>
      <c r="J142" s="75">
        <v>-7000</v>
      </c>
      <c r="L142" s="45">
        <f t="shared" si="6"/>
        <v>-3260.7999999999993</v>
      </c>
    </row>
    <row r="143" spans="1:12" x14ac:dyDescent="0.25">
      <c r="A143" t="s">
        <v>232</v>
      </c>
      <c r="B143" t="s">
        <v>233</v>
      </c>
      <c r="C143" s="45">
        <v>-29987.16</v>
      </c>
      <c r="D143" s="45">
        <v>-274000</v>
      </c>
      <c r="E143" s="45">
        <v>89.06</v>
      </c>
      <c r="F143" s="45">
        <v>10.94</v>
      </c>
      <c r="G143" s="45">
        <v>-244012.84</v>
      </c>
      <c r="H143" s="115">
        <v>-274000</v>
      </c>
      <c r="J143" s="75">
        <v>-274000</v>
      </c>
      <c r="L143" s="45">
        <f t="shared" si="6"/>
        <v>0</v>
      </c>
    </row>
    <row r="144" spans="1:12" x14ac:dyDescent="0.25">
      <c r="A144" t="s">
        <v>234</v>
      </c>
      <c r="B144" t="s">
        <v>235</v>
      </c>
      <c r="D144" s="45">
        <v>-25000</v>
      </c>
      <c r="E144" s="45">
        <v>100</v>
      </c>
      <c r="G144" s="45">
        <v>-25000</v>
      </c>
      <c r="H144" s="115">
        <v>-25000</v>
      </c>
      <c r="J144" s="75">
        <v>-25000</v>
      </c>
      <c r="L144" s="45">
        <f t="shared" si="6"/>
        <v>0</v>
      </c>
    </row>
    <row r="145" spans="1:12" x14ac:dyDescent="0.25">
      <c r="A145" t="s">
        <v>236</v>
      </c>
      <c r="B145" t="s">
        <v>237</v>
      </c>
      <c r="C145" s="45">
        <v>-5782.94</v>
      </c>
      <c r="D145" s="45">
        <v>-35000</v>
      </c>
      <c r="E145" s="45">
        <v>83.48</v>
      </c>
      <c r="F145" s="45">
        <v>16.52</v>
      </c>
      <c r="G145" s="45">
        <v>-29217.06</v>
      </c>
      <c r="H145" s="115">
        <v>-35299.199999999997</v>
      </c>
      <c r="J145" s="75">
        <v>-35116.800000000003</v>
      </c>
      <c r="L145" s="45">
        <f t="shared" si="6"/>
        <v>-182.39999999999418</v>
      </c>
    </row>
    <row r="146" spans="1:12" x14ac:dyDescent="0.25">
      <c r="A146" t="s">
        <v>238</v>
      </c>
      <c r="B146" t="s">
        <v>239</v>
      </c>
      <c r="C146" s="45">
        <v>-28318.55</v>
      </c>
      <c r="D146" s="45">
        <v>-63506.63</v>
      </c>
      <c r="E146" s="45">
        <v>55.41</v>
      </c>
      <c r="F146" s="45">
        <v>44.59</v>
      </c>
      <c r="G146" s="45">
        <v>-35188.080000000002</v>
      </c>
      <c r="H146" s="115">
        <v>-71692.2</v>
      </c>
      <c r="J146" s="75">
        <v>-63506.63</v>
      </c>
      <c r="L146" s="45">
        <f t="shared" si="6"/>
        <v>-8185.57</v>
      </c>
    </row>
    <row r="147" spans="1:12" x14ac:dyDescent="0.25">
      <c r="A147" t="s">
        <v>240</v>
      </c>
      <c r="B147" t="s">
        <v>241</v>
      </c>
      <c r="C147" s="45">
        <v>-236820.31</v>
      </c>
      <c r="G147" s="45">
        <v>236820.31</v>
      </c>
      <c r="H147" s="115">
        <v>-236820.31</v>
      </c>
      <c r="J147" s="75">
        <v>-128090</v>
      </c>
      <c r="L147" s="45">
        <f t="shared" si="6"/>
        <v>-108730.31</v>
      </c>
    </row>
    <row r="148" spans="1:12" x14ac:dyDescent="0.25">
      <c r="A148" t="s">
        <v>242</v>
      </c>
      <c r="B148" t="s">
        <v>243</v>
      </c>
      <c r="C148" s="45">
        <v>-45160.07</v>
      </c>
      <c r="D148" s="45">
        <v>-192660</v>
      </c>
      <c r="E148" s="45">
        <v>76.56</v>
      </c>
      <c r="F148" s="45">
        <v>23.44</v>
      </c>
      <c r="G148" s="45">
        <v>-147499.93</v>
      </c>
      <c r="H148" s="115">
        <v>-192660</v>
      </c>
      <c r="J148" s="75">
        <v>-192660</v>
      </c>
      <c r="L148" s="45">
        <f t="shared" si="6"/>
        <v>0</v>
      </c>
    </row>
    <row r="149" spans="1:12" x14ac:dyDescent="0.25">
      <c r="A149" t="s">
        <v>244</v>
      </c>
      <c r="B149" t="s">
        <v>245</v>
      </c>
      <c r="C149" s="45">
        <v>-69039.679999999993</v>
      </c>
      <c r="D149" s="45">
        <v>-156400</v>
      </c>
      <c r="E149" s="45">
        <v>55.86</v>
      </c>
      <c r="F149" s="45">
        <v>44.14</v>
      </c>
      <c r="G149" s="45">
        <v>-87360.320000000007</v>
      </c>
      <c r="H149" s="115">
        <v>-156400</v>
      </c>
      <c r="J149" s="75">
        <v>-156400</v>
      </c>
      <c r="L149" s="45">
        <f t="shared" si="6"/>
        <v>0</v>
      </c>
    </row>
    <row r="150" spans="1:12" x14ac:dyDescent="0.25">
      <c r="A150" t="s">
        <v>246</v>
      </c>
      <c r="B150" t="s">
        <v>247</v>
      </c>
      <c r="C150" s="45">
        <v>-449754.97</v>
      </c>
      <c r="D150" s="45">
        <v>-4814375</v>
      </c>
      <c r="E150" s="45">
        <v>90.66</v>
      </c>
      <c r="F150" s="45">
        <v>9.34</v>
      </c>
      <c r="G150" s="45">
        <v>-4364620.03</v>
      </c>
      <c r="H150" s="115">
        <v>-4583588.24</v>
      </c>
      <c r="J150" s="75">
        <v>-1314375</v>
      </c>
      <c r="L150" s="74">
        <f t="shared" si="6"/>
        <v>-3269213.24</v>
      </c>
    </row>
    <row r="151" spans="1:12" x14ac:dyDescent="0.25">
      <c r="A151" t="s">
        <v>248</v>
      </c>
      <c r="B151" t="s">
        <v>249</v>
      </c>
      <c r="C151" s="45">
        <v>-109287.71</v>
      </c>
      <c r="D151" s="45">
        <v>-390000</v>
      </c>
      <c r="E151" s="45">
        <v>71.98</v>
      </c>
      <c r="F151" s="45">
        <v>28.02</v>
      </c>
      <c r="G151" s="45">
        <v>-280712.28999999998</v>
      </c>
      <c r="H151" s="115">
        <v>-390000</v>
      </c>
      <c r="J151" s="75">
        <v>-390000</v>
      </c>
      <c r="L151" s="45">
        <f t="shared" si="6"/>
        <v>0</v>
      </c>
    </row>
    <row r="152" spans="1:12" x14ac:dyDescent="0.25">
      <c r="A152" t="s">
        <v>250</v>
      </c>
      <c r="B152" t="s">
        <v>251</v>
      </c>
      <c r="H152" s="115">
        <v>0</v>
      </c>
      <c r="J152" s="75">
        <v>0</v>
      </c>
      <c r="L152" s="45">
        <f t="shared" si="6"/>
        <v>0</v>
      </c>
    </row>
    <row r="153" spans="1:12" x14ac:dyDescent="0.25">
      <c r="A153" t="s">
        <v>252</v>
      </c>
      <c r="B153" t="s">
        <v>253</v>
      </c>
      <c r="C153" s="45">
        <v>-100431.72</v>
      </c>
      <c r="D153" s="45">
        <v>-70000</v>
      </c>
      <c r="E153" s="45">
        <v>-43.47</v>
      </c>
      <c r="F153" s="45">
        <v>143.47</v>
      </c>
      <c r="G153" s="45">
        <v>30431.72</v>
      </c>
      <c r="H153" s="115">
        <v>-100431.72</v>
      </c>
      <c r="J153" s="75">
        <v>-71002.2</v>
      </c>
      <c r="L153" s="45">
        <f t="shared" si="6"/>
        <v>-29429.520000000004</v>
      </c>
    </row>
    <row r="154" spans="1:12" x14ac:dyDescent="0.25">
      <c r="A154" t="s">
        <v>254</v>
      </c>
      <c r="B154" t="s">
        <v>255</v>
      </c>
      <c r="C154" s="45">
        <v>-111985.19</v>
      </c>
      <c r="D154" s="45">
        <v>-213155.18</v>
      </c>
      <c r="E154" s="45">
        <v>47.46</v>
      </c>
      <c r="F154" s="45">
        <v>52.54</v>
      </c>
      <c r="G154" s="45">
        <v>-101169.99</v>
      </c>
      <c r="H154" s="115">
        <v>-213155.18</v>
      </c>
      <c r="J154" s="75">
        <v>-213155.18</v>
      </c>
      <c r="L154" s="45">
        <f t="shared" si="6"/>
        <v>0</v>
      </c>
    </row>
    <row r="155" spans="1:12" x14ac:dyDescent="0.25">
      <c r="A155" t="s">
        <v>256</v>
      </c>
      <c r="B155" t="s">
        <v>257</v>
      </c>
      <c r="D155" s="45">
        <v>-72666.66</v>
      </c>
      <c r="E155" s="45">
        <v>100</v>
      </c>
      <c r="G155" s="45">
        <v>-72666.66</v>
      </c>
      <c r="H155" s="115">
        <v>-72666.66</v>
      </c>
      <c r="J155" s="75">
        <v>-72666.66</v>
      </c>
      <c r="L155" s="45">
        <f t="shared" si="6"/>
        <v>0</v>
      </c>
    </row>
    <row r="156" spans="1:12" x14ac:dyDescent="0.25">
      <c r="A156" t="s">
        <v>258</v>
      </c>
      <c r="B156" t="s">
        <v>259</v>
      </c>
      <c r="C156" s="45">
        <v>-193393.85</v>
      </c>
      <c r="D156" s="45">
        <v>-49323.4</v>
      </c>
      <c r="E156" s="45">
        <v>-292.08999999999997</v>
      </c>
      <c r="F156" s="45">
        <v>392.09</v>
      </c>
      <c r="G156" s="45">
        <v>144070.45000000001</v>
      </c>
      <c r="H156" s="115">
        <v>-193393.85</v>
      </c>
      <c r="J156" s="75">
        <v>0</v>
      </c>
      <c r="L156" s="45">
        <f t="shared" si="6"/>
        <v>-193393.85</v>
      </c>
    </row>
    <row r="157" spans="1:12" x14ac:dyDescent="0.25">
      <c r="A157" t="s">
        <v>260</v>
      </c>
      <c r="B157" t="s">
        <v>261</v>
      </c>
      <c r="D157" s="45">
        <v>-866371</v>
      </c>
      <c r="E157" s="45">
        <v>100</v>
      </c>
      <c r="G157" s="45">
        <v>-866371</v>
      </c>
      <c r="H157" s="115">
        <v>0</v>
      </c>
      <c r="J157" s="75">
        <v>-476000</v>
      </c>
      <c r="L157" s="45">
        <f t="shared" si="6"/>
        <v>476000</v>
      </c>
    </row>
    <row r="158" spans="1:12" x14ac:dyDescent="0.25">
      <c r="A158" t="s">
        <v>262</v>
      </c>
      <c r="B158" t="s">
        <v>263</v>
      </c>
      <c r="C158" s="45">
        <v>-48932.63</v>
      </c>
      <c r="D158" s="45">
        <v>-1280000</v>
      </c>
      <c r="E158" s="45">
        <v>96.18</v>
      </c>
      <c r="F158" s="45">
        <v>3.82</v>
      </c>
      <c r="G158" s="45">
        <v>-1231067.3700000001</v>
      </c>
      <c r="H158" s="115">
        <v>-784743.46</v>
      </c>
      <c r="J158" s="75">
        <v>-781792.76</v>
      </c>
      <c r="L158" s="45">
        <f t="shared" si="6"/>
        <v>-2950.6999999999534</v>
      </c>
    </row>
    <row r="159" spans="1:12" x14ac:dyDescent="0.25">
      <c r="A159" t="s">
        <v>264</v>
      </c>
      <c r="B159" t="s">
        <v>265</v>
      </c>
      <c r="H159" s="115">
        <v>0</v>
      </c>
      <c r="J159" s="75">
        <v>0</v>
      </c>
      <c r="L159" s="45">
        <f t="shared" si="6"/>
        <v>0</v>
      </c>
    </row>
    <row r="160" spans="1:12" x14ac:dyDescent="0.25">
      <c r="A160" t="s">
        <v>266</v>
      </c>
      <c r="B160" t="s">
        <v>267</v>
      </c>
      <c r="H160" s="115">
        <v>0</v>
      </c>
      <c r="J160" s="75">
        <v>0</v>
      </c>
      <c r="L160" s="45">
        <f t="shared" si="6"/>
        <v>0</v>
      </c>
    </row>
    <row r="161" spans="1:12" x14ac:dyDescent="0.25">
      <c r="A161" t="s">
        <v>268</v>
      </c>
      <c r="B161" t="s">
        <v>269</v>
      </c>
      <c r="C161" s="45">
        <v>-702399.28</v>
      </c>
      <c r="D161" s="45">
        <v>-1508000</v>
      </c>
      <c r="E161" s="45">
        <v>53.42</v>
      </c>
      <c r="F161" s="45">
        <v>46.58</v>
      </c>
      <c r="G161" s="45">
        <v>-805600.72</v>
      </c>
      <c r="H161" s="115">
        <v>-1512771.94</v>
      </c>
      <c r="J161" s="75">
        <v>-2096138.1600000001</v>
      </c>
      <c r="L161" s="45">
        <f t="shared" si="6"/>
        <v>583366.2200000002</v>
      </c>
    </row>
    <row r="162" spans="1:12" x14ac:dyDescent="0.25">
      <c r="A162" t="s">
        <v>270</v>
      </c>
      <c r="B162" t="s">
        <v>271</v>
      </c>
      <c r="C162" s="45">
        <v>-354702.35</v>
      </c>
      <c r="D162" s="45">
        <v>-793000</v>
      </c>
      <c r="E162" s="45">
        <v>55.27</v>
      </c>
      <c r="F162" s="45">
        <v>44.73</v>
      </c>
      <c r="G162" s="45">
        <v>-438297.65</v>
      </c>
      <c r="H162" s="115">
        <v>-695046.39999999991</v>
      </c>
      <c r="J162" s="75">
        <v>-689211.44000000006</v>
      </c>
      <c r="L162" s="45">
        <f t="shared" si="6"/>
        <v>-5834.9599999998463</v>
      </c>
    </row>
    <row r="163" spans="1:12" x14ac:dyDescent="0.25">
      <c r="A163" t="s">
        <v>272</v>
      </c>
      <c r="B163" t="s">
        <v>273</v>
      </c>
      <c r="C163" s="45">
        <v>-237134.32</v>
      </c>
      <c r="D163" s="45">
        <v>-324642</v>
      </c>
      <c r="E163" s="45">
        <v>26.96</v>
      </c>
      <c r="F163" s="45">
        <v>73.040000000000006</v>
      </c>
      <c r="G163" s="45">
        <v>-87507.68</v>
      </c>
      <c r="H163" s="115">
        <v>-511585.14</v>
      </c>
      <c r="J163" s="75">
        <v>-575858.6</v>
      </c>
      <c r="L163" s="45">
        <f t="shared" si="6"/>
        <v>64273.459999999963</v>
      </c>
    </row>
    <row r="164" spans="1:12" x14ac:dyDescent="0.25">
      <c r="A164" t="s">
        <v>274</v>
      </c>
      <c r="B164" t="s">
        <v>275</v>
      </c>
      <c r="C164" s="45">
        <v>-22626.59</v>
      </c>
      <c r="D164" s="45">
        <v>-78500</v>
      </c>
      <c r="E164" s="45">
        <v>71.180000000000007</v>
      </c>
      <c r="F164" s="45">
        <v>28.82</v>
      </c>
      <c r="G164" s="45">
        <v>-55873.41</v>
      </c>
      <c r="H164" s="115">
        <v>-78500</v>
      </c>
      <c r="J164" s="75">
        <v>-78500</v>
      </c>
      <c r="L164" s="45">
        <f t="shared" si="6"/>
        <v>0</v>
      </c>
    </row>
    <row r="165" spans="1:12" x14ac:dyDescent="0.25">
      <c r="A165" t="s">
        <v>276</v>
      </c>
      <c r="B165" t="s">
        <v>277</v>
      </c>
      <c r="C165" s="45">
        <v>-12992.86</v>
      </c>
      <c r="D165" s="45">
        <v>-84000</v>
      </c>
      <c r="E165" s="45">
        <v>84.53</v>
      </c>
      <c r="F165" s="45">
        <v>15.47</v>
      </c>
      <c r="G165" s="45">
        <v>-71007.14</v>
      </c>
      <c r="H165" s="115">
        <v>-84407.85</v>
      </c>
      <c r="J165" s="75">
        <v>-84000</v>
      </c>
      <c r="L165" s="45">
        <f t="shared" si="6"/>
        <v>-407.85000000000582</v>
      </c>
    </row>
    <row r="166" spans="1:12" x14ac:dyDescent="0.25">
      <c r="A166" t="s">
        <v>278</v>
      </c>
      <c r="B166" t="s">
        <v>279</v>
      </c>
      <c r="C166" s="45">
        <v>229516.88</v>
      </c>
      <c r="G166" s="45">
        <v>-229516.88</v>
      </c>
      <c r="H166" s="115">
        <v>459033.76</v>
      </c>
      <c r="J166" s="75">
        <v>713544.32</v>
      </c>
      <c r="L166" s="45">
        <f t="shared" si="6"/>
        <v>-254510.55999999994</v>
      </c>
    </row>
    <row r="167" spans="1:12" x14ac:dyDescent="0.25">
      <c r="A167" t="s">
        <v>280</v>
      </c>
      <c r="B167" t="s">
        <v>281</v>
      </c>
      <c r="C167" s="45">
        <v>-275829.33</v>
      </c>
      <c r="D167" s="45">
        <v>-580000</v>
      </c>
      <c r="E167" s="45">
        <v>52.44</v>
      </c>
      <c r="F167" s="45">
        <v>47.56</v>
      </c>
      <c r="G167" s="45">
        <v>-304170.67</v>
      </c>
      <c r="H167" s="115">
        <v>-604459.51</v>
      </c>
      <c r="J167" s="75">
        <v>-580000</v>
      </c>
      <c r="L167" s="45">
        <f t="shared" si="6"/>
        <v>-24459.510000000009</v>
      </c>
    </row>
    <row r="168" spans="1:12" x14ac:dyDescent="0.25">
      <c r="A168" t="s">
        <v>282</v>
      </c>
      <c r="B168" t="s">
        <v>283</v>
      </c>
      <c r="C168" s="45">
        <v>-944196.49</v>
      </c>
      <c r="D168" s="45">
        <v>-2200000</v>
      </c>
      <c r="E168" s="45">
        <v>57.08</v>
      </c>
      <c r="F168" s="45">
        <v>42.92</v>
      </c>
      <c r="G168" s="45">
        <v>-1255803.51</v>
      </c>
      <c r="H168" s="115">
        <v>-2600000</v>
      </c>
      <c r="J168" s="75">
        <v>-2600000</v>
      </c>
      <c r="L168" s="45">
        <f t="shared" si="6"/>
        <v>0</v>
      </c>
    </row>
    <row r="169" spans="1:12" x14ac:dyDescent="0.25">
      <c r="A169" t="s">
        <v>284</v>
      </c>
      <c r="B169" t="s">
        <v>285</v>
      </c>
      <c r="C169" s="45">
        <v>-109624.75</v>
      </c>
      <c r="D169" s="45">
        <v>-350000</v>
      </c>
      <c r="E169" s="45">
        <v>68.680000000000007</v>
      </c>
      <c r="F169" s="45">
        <v>31.32</v>
      </c>
      <c r="G169" s="45">
        <v>-240375.25</v>
      </c>
      <c r="H169" s="115">
        <v>-350000</v>
      </c>
      <c r="J169" s="75">
        <v>-350000</v>
      </c>
      <c r="L169" s="45">
        <f t="shared" si="6"/>
        <v>0</v>
      </c>
    </row>
    <row r="170" spans="1:12" x14ac:dyDescent="0.25">
      <c r="A170" t="s">
        <v>286</v>
      </c>
      <c r="B170" t="s">
        <v>287</v>
      </c>
      <c r="C170" s="45">
        <v>-38500</v>
      </c>
      <c r="D170" s="45">
        <v>-50000</v>
      </c>
      <c r="E170" s="45">
        <v>23</v>
      </c>
      <c r="F170" s="45">
        <v>77</v>
      </c>
      <c r="G170" s="45">
        <v>-11500</v>
      </c>
      <c r="H170" s="115">
        <v>-100000</v>
      </c>
      <c r="J170" s="75">
        <v>-100000</v>
      </c>
      <c r="L170" s="45">
        <f t="shared" si="6"/>
        <v>0</v>
      </c>
    </row>
    <row r="171" spans="1:12" x14ac:dyDescent="0.25">
      <c r="A171" t="s">
        <v>288</v>
      </c>
      <c r="B171" t="s">
        <v>289</v>
      </c>
      <c r="C171" s="45">
        <v>-231872.5</v>
      </c>
      <c r="D171" s="45">
        <v>-296956.57</v>
      </c>
      <c r="E171" s="45">
        <v>21.92</v>
      </c>
      <c r="F171" s="45">
        <v>78.08</v>
      </c>
      <c r="G171" s="45">
        <v>-65084.07</v>
      </c>
      <c r="H171" s="115">
        <v>-800412.07000000007</v>
      </c>
      <c r="J171" s="75">
        <v>-675065.57000000007</v>
      </c>
      <c r="L171" s="45">
        <f t="shared" si="6"/>
        <v>-125346.5</v>
      </c>
    </row>
    <row r="172" spans="1:12" x14ac:dyDescent="0.25">
      <c r="A172" t="s">
        <v>290</v>
      </c>
      <c r="B172" t="s">
        <v>291</v>
      </c>
      <c r="C172" s="45">
        <v>-6644.8</v>
      </c>
      <c r="D172" s="45">
        <v>-72000</v>
      </c>
      <c r="E172" s="45">
        <v>90.77</v>
      </c>
      <c r="F172" s="45">
        <v>9.23</v>
      </c>
      <c r="G172" s="45">
        <v>-65355.199999999997</v>
      </c>
      <c r="H172" s="115">
        <v>-72000</v>
      </c>
      <c r="J172" s="75">
        <v>-72000</v>
      </c>
      <c r="L172" s="45">
        <f t="shared" si="6"/>
        <v>0</v>
      </c>
    </row>
    <row r="173" spans="1:12" x14ac:dyDescent="0.25">
      <c r="A173" t="s">
        <v>292</v>
      </c>
      <c r="B173" t="s">
        <v>293</v>
      </c>
      <c r="C173" s="45">
        <v>-101017.71</v>
      </c>
      <c r="D173" s="45">
        <v>-270787.61</v>
      </c>
      <c r="E173" s="45">
        <v>62.69</v>
      </c>
      <c r="F173" s="45">
        <v>37.31</v>
      </c>
      <c r="G173" s="45">
        <v>-169769.9</v>
      </c>
      <c r="H173" s="115">
        <v>-282723.86</v>
      </c>
      <c r="J173" s="75">
        <v>-270787.61</v>
      </c>
      <c r="L173" s="45">
        <f t="shared" si="6"/>
        <v>-11936.25</v>
      </c>
    </row>
    <row r="174" spans="1:12" x14ac:dyDescent="0.25">
      <c r="A174" t="s">
        <v>294</v>
      </c>
      <c r="B174" t="s">
        <v>295</v>
      </c>
      <c r="C174" s="45">
        <v>-2147078.29</v>
      </c>
      <c r="D174" s="45">
        <v>-238558.88</v>
      </c>
      <c r="E174" s="45">
        <v>-800.02</v>
      </c>
      <c r="F174" s="45">
        <v>900.02</v>
      </c>
      <c r="G174" s="45">
        <v>1908519.41</v>
      </c>
      <c r="H174" s="115">
        <v>-1307984.17</v>
      </c>
      <c r="J174" s="75">
        <v>-262789.08</v>
      </c>
      <c r="L174" s="45">
        <f t="shared" si="6"/>
        <v>-1045195.0899999999</v>
      </c>
    </row>
    <row r="175" spans="1:12" x14ac:dyDescent="0.25">
      <c r="A175" t="s">
        <v>296</v>
      </c>
      <c r="B175" t="s">
        <v>297</v>
      </c>
      <c r="C175" s="45">
        <v>-21284.19</v>
      </c>
      <c r="D175" s="45">
        <v>-64200</v>
      </c>
      <c r="E175" s="45">
        <v>66.849999999999994</v>
      </c>
      <c r="F175" s="45">
        <v>33.15</v>
      </c>
      <c r="G175" s="45">
        <v>-42915.81</v>
      </c>
      <c r="H175" s="115">
        <v>-64300</v>
      </c>
      <c r="J175" s="75">
        <v>-64200</v>
      </c>
      <c r="L175" s="45">
        <f t="shared" si="6"/>
        <v>-100</v>
      </c>
    </row>
    <row r="176" spans="1:12" x14ac:dyDescent="0.25">
      <c r="A176" t="s">
        <v>298</v>
      </c>
      <c r="B176" t="s">
        <v>299</v>
      </c>
      <c r="C176" s="45">
        <v>-510707.83</v>
      </c>
      <c r="D176" s="45">
        <v>-1222000</v>
      </c>
      <c r="E176" s="45">
        <v>58.21</v>
      </c>
      <c r="F176" s="45">
        <v>41.79</v>
      </c>
      <c r="G176" s="45">
        <v>-711292.17</v>
      </c>
      <c r="H176" s="115">
        <v>-1222477.28</v>
      </c>
      <c r="J176" s="75">
        <v>-1222000</v>
      </c>
      <c r="L176" s="45">
        <f t="shared" si="6"/>
        <v>-477.28000000002794</v>
      </c>
    </row>
    <row r="177" spans="1:12" x14ac:dyDescent="0.25">
      <c r="A177" t="s">
        <v>300</v>
      </c>
      <c r="B177" t="s">
        <v>301</v>
      </c>
      <c r="C177" s="45">
        <v>-272512.19</v>
      </c>
      <c r="D177" s="45">
        <v>-96619</v>
      </c>
      <c r="E177" s="45">
        <v>-182.05</v>
      </c>
      <c r="F177" s="45">
        <v>282.05</v>
      </c>
      <c r="G177" s="45">
        <v>175893.19</v>
      </c>
      <c r="H177" s="115">
        <v>-284131.19</v>
      </c>
      <c r="J177" s="75">
        <v>-97516</v>
      </c>
      <c r="L177" s="45">
        <f t="shared" si="6"/>
        <v>-186615.19</v>
      </c>
    </row>
    <row r="178" spans="1:12" x14ac:dyDescent="0.25">
      <c r="A178" t="s">
        <v>302</v>
      </c>
      <c r="B178" t="s">
        <v>303</v>
      </c>
      <c r="C178" s="45">
        <v>-21386.720000000001</v>
      </c>
      <c r="D178" s="45">
        <v>-68000</v>
      </c>
      <c r="E178" s="45">
        <v>68.55</v>
      </c>
      <c r="F178" s="45">
        <v>31.45</v>
      </c>
      <c r="G178" s="45">
        <v>-46613.279999999999</v>
      </c>
      <c r="H178" s="115">
        <v>-74635.94</v>
      </c>
      <c r="J178" s="75">
        <v>-74550</v>
      </c>
      <c r="L178" s="45">
        <f t="shared" si="6"/>
        <v>-85.940000000002328</v>
      </c>
    </row>
    <row r="179" spans="1:12" x14ac:dyDescent="0.25">
      <c r="A179" t="s">
        <v>304</v>
      </c>
      <c r="B179" t="s">
        <v>305</v>
      </c>
      <c r="D179" s="45">
        <v>-90000</v>
      </c>
      <c r="E179" s="45">
        <v>100</v>
      </c>
      <c r="G179" s="45">
        <v>-90000</v>
      </c>
      <c r="H179" s="115">
        <v>-45000</v>
      </c>
      <c r="J179" s="75">
        <v>-45000</v>
      </c>
      <c r="L179" s="45">
        <f t="shared" si="6"/>
        <v>0</v>
      </c>
    </row>
    <row r="180" spans="1:12" x14ac:dyDescent="0.25">
      <c r="A180" t="s">
        <v>306</v>
      </c>
      <c r="B180" t="s">
        <v>307</v>
      </c>
      <c r="C180" s="45">
        <v>-157927.48000000001</v>
      </c>
      <c r="D180" s="45">
        <v>-165000</v>
      </c>
      <c r="E180" s="45">
        <v>4.29</v>
      </c>
      <c r="F180" s="45">
        <v>95.71</v>
      </c>
      <c r="G180" s="45">
        <v>-7072.52</v>
      </c>
      <c r="H180" s="115">
        <v>-265000</v>
      </c>
      <c r="J180" s="75">
        <v>-265000</v>
      </c>
      <c r="L180" s="45">
        <f t="shared" si="6"/>
        <v>0</v>
      </c>
    </row>
    <row r="181" spans="1:12" x14ac:dyDescent="0.25">
      <c r="A181" t="s">
        <v>308</v>
      </c>
      <c r="B181" t="s">
        <v>309</v>
      </c>
      <c r="C181" s="45">
        <v>28225.93</v>
      </c>
      <c r="D181" s="45">
        <v>-960000</v>
      </c>
      <c r="E181" s="45">
        <v>102.94</v>
      </c>
      <c r="F181" s="45">
        <v>-2.94</v>
      </c>
      <c r="G181" s="45">
        <v>-988225.93</v>
      </c>
      <c r="H181" s="115">
        <v>-709736.15</v>
      </c>
      <c r="J181" s="75">
        <v>-960000</v>
      </c>
      <c r="L181" s="45">
        <f t="shared" si="6"/>
        <v>250263.84999999998</v>
      </c>
    </row>
    <row r="182" spans="1:12" x14ac:dyDescent="0.25">
      <c r="A182" t="s">
        <v>310</v>
      </c>
      <c r="B182" t="s">
        <v>311</v>
      </c>
      <c r="C182" s="45">
        <v>-1902</v>
      </c>
      <c r="D182" s="45">
        <v>-5100</v>
      </c>
      <c r="E182" s="45">
        <v>62.71</v>
      </c>
      <c r="F182" s="45">
        <v>37.29</v>
      </c>
      <c r="G182" s="45">
        <v>-3198</v>
      </c>
      <c r="H182" s="115">
        <v>-6456</v>
      </c>
      <c r="J182" s="75">
        <v>-5100</v>
      </c>
      <c r="L182" s="45">
        <f t="shared" si="6"/>
        <v>-1356</v>
      </c>
    </row>
    <row r="183" spans="1:12" x14ac:dyDescent="0.25">
      <c r="A183" t="s">
        <v>312</v>
      </c>
      <c r="B183" t="s">
        <v>313</v>
      </c>
      <c r="C183" s="45">
        <v>-122788.16</v>
      </c>
      <c r="D183" s="45">
        <v>-340000.02</v>
      </c>
      <c r="E183" s="45">
        <v>63.89</v>
      </c>
      <c r="F183" s="45">
        <v>36.11</v>
      </c>
      <c r="G183" s="45">
        <v>-217211.86</v>
      </c>
      <c r="H183" s="115">
        <v>-326660.09999999998</v>
      </c>
      <c r="J183" s="75">
        <v>-326660.09999999998</v>
      </c>
      <c r="L183" s="45">
        <f t="shared" si="6"/>
        <v>0</v>
      </c>
    </row>
    <row r="184" spans="1:12" x14ac:dyDescent="0.25">
      <c r="A184" t="s">
        <v>314</v>
      </c>
      <c r="B184" t="s">
        <v>315</v>
      </c>
      <c r="C184" s="45">
        <v>-53954.52</v>
      </c>
      <c r="D184" s="45">
        <v>-263500</v>
      </c>
      <c r="E184" s="45">
        <v>79.52</v>
      </c>
      <c r="F184" s="45">
        <v>20.48</v>
      </c>
      <c r="G184" s="45">
        <v>-209545.48</v>
      </c>
      <c r="H184" s="115">
        <v>-268000</v>
      </c>
      <c r="J184" s="75">
        <v>-263500</v>
      </c>
      <c r="L184" s="45">
        <f t="shared" si="6"/>
        <v>-4500</v>
      </c>
    </row>
    <row r="185" spans="1:12" x14ac:dyDescent="0.25">
      <c r="A185" t="s">
        <v>316</v>
      </c>
      <c r="B185" t="s">
        <v>317</v>
      </c>
      <c r="C185" s="45">
        <v>-27715.03</v>
      </c>
      <c r="D185" s="45">
        <v>-117000</v>
      </c>
      <c r="E185" s="45">
        <v>76.31</v>
      </c>
      <c r="F185" s="45">
        <v>23.69</v>
      </c>
      <c r="G185" s="45">
        <v>-89284.97</v>
      </c>
      <c r="H185" s="115">
        <v>-117000</v>
      </c>
      <c r="J185" s="75">
        <v>-117000</v>
      </c>
      <c r="L185" s="45">
        <f t="shared" si="6"/>
        <v>0</v>
      </c>
    </row>
    <row r="186" spans="1:12" x14ac:dyDescent="0.25">
      <c r="A186" t="s">
        <v>318</v>
      </c>
      <c r="B186" t="s">
        <v>319</v>
      </c>
      <c r="C186" s="45">
        <v>-123297.54</v>
      </c>
      <c r="D186" s="45">
        <v>-1190688</v>
      </c>
      <c r="E186" s="45">
        <v>89.64</v>
      </c>
      <c r="F186" s="45">
        <v>10.36</v>
      </c>
      <c r="G186" s="45">
        <v>-1067390.46</v>
      </c>
      <c r="H186" s="115">
        <v>-1190688</v>
      </c>
      <c r="J186" s="75">
        <v>-1190688</v>
      </c>
      <c r="L186" s="45">
        <f t="shared" si="6"/>
        <v>0</v>
      </c>
    </row>
    <row r="187" spans="1:12" x14ac:dyDescent="0.25">
      <c r="A187" t="s">
        <v>320</v>
      </c>
      <c r="B187" t="s">
        <v>321</v>
      </c>
      <c r="C187" s="45">
        <v>-32538.06</v>
      </c>
      <c r="D187" s="45">
        <v>-271999.99</v>
      </c>
      <c r="E187" s="45">
        <v>88.04</v>
      </c>
      <c r="F187" s="45">
        <v>11.96</v>
      </c>
      <c r="G187" s="45">
        <v>-239461.93</v>
      </c>
      <c r="H187" s="115">
        <v>-272313.95</v>
      </c>
      <c r="J187" s="75">
        <v>-272141.95</v>
      </c>
      <c r="L187" s="45">
        <f t="shared" si="6"/>
        <v>-172</v>
      </c>
    </row>
    <row r="188" spans="1:12" x14ac:dyDescent="0.25">
      <c r="A188" t="s">
        <v>322</v>
      </c>
      <c r="B188" t="s">
        <v>323</v>
      </c>
      <c r="C188" s="45">
        <v>-1183182.6100000001</v>
      </c>
      <c r="D188" s="45">
        <v>-4683700</v>
      </c>
      <c r="E188" s="45">
        <v>74.739999999999995</v>
      </c>
      <c r="F188" s="45">
        <v>25.26</v>
      </c>
      <c r="G188" s="45">
        <v>-3500517.39</v>
      </c>
      <c r="H188" s="115">
        <v>-4683700</v>
      </c>
      <c r="J188" s="75">
        <v>-4683700</v>
      </c>
      <c r="L188" s="45">
        <f t="shared" si="6"/>
        <v>0</v>
      </c>
    </row>
    <row r="189" spans="1:12" x14ac:dyDescent="0.25">
      <c r="A189" t="s">
        <v>324</v>
      </c>
      <c r="B189" t="s">
        <v>325</v>
      </c>
      <c r="C189" s="45">
        <v>-7842</v>
      </c>
      <c r="G189" s="45">
        <v>7842</v>
      </c>
      <c r="H189" s="115">
        <v>-7842</v>
      </c>
      <c r="J189" s="75">
        <v>-4662</v>
      </c>
      <c r="L189" s="45">
        <f t="shared" si="6"/>
        <v>-3180</v>
      </c>
    </row>
    <row r="190" spans="1:12" x14ac:dyDescent="0.25">
      <c r="A190" t="s">
        <v>326</v>
      </c>
      <c r="B190" t="s">
        <v>327</v>
      </c>
      <c r="C190" s="45">
        <v>-98589.34</v>
      </c>
      <c r="D190" s="45">
        <v>-140000</v>
      </c>
      <c r="E190" s="45">
        <v>29.58</v>
      </c>
      <c r="F190" s="45">
        <v>70.42</v>
      </c>
      <c r="G190" s="45">
        <v>-41410.660000000003</v>
      </c>
      <c r="H190" s="115">
        <v>-144030</v>
      </c>
      <c r="J190" s="75">
        <v>-140977</v>
      </c>
      <c r="L190" s="45">
        <f t="shared" si="6"/>
        <v>-3053</v>
      </c>
    </row>
    <row r="191" spans="1:12" x14ac:dyDescent="0.25">
      <c r="A191" t="s">
        <v>328</v>
      </c>
      <c r="B191" t="s">
        <v>329</v>
      </c>
      <c r="D191" s="45">
        <v>-674000</v>
      </c>
      <c r="E191" s="45">
        <v>100</v>
      </c>
      <c r="G191" s="45">
        <v>-674000</v>
      </c>
      <c r="H191" s="115">
        <v>-674000</v>
      </c>
      <c r="J191" s="75">
        <v>-674000</v>
      </c>
      <c r="L191" s="45">
        <f t="shared" si="6"/>
        <v>0</v>
      </c>
    </row>
    <row r="192" spans="1:12" x14ac:dyDescent="0.25">
      <c r="A192" t="s">
        <v>330</v>
      </c>
      <c r="B192" t="s">
        <v>331</v>
      </c>
      <c r="C192" s="45">
        <v>-149461.17000000001</v>
      </c>
      <c r="D192" s="45">
        <v>-570218</v>
      </c>
      <c r="E192" s="45">
        <v>73.790000000000006</v>
      </c>
      <c r="F192" s="45">
        <v>26.21</v>
      </c>
      <c r="G192" s="45">
        <v>-420756.83</v>
      </c>
      <c r="H192" s="115">
        <v>-627632.4</v>
      </c>
      <c r="J192" s="75">
        <v>-570218</v>
      </c>
      <c r="L192" s="45">
        <f t="shared" si="6"/>
        <v>-57414.400000000023</v>
      </c>
    </row>
    <row r="193" spans="1:12" x14ac:dyDescent="0.25">
      <c r="A193" t="s">
        <v>332</v>
      </c>
      <c r="B193" t="s">
        <v>333</v>
      </c>
      <c r="H193" s="115">
        <v>0</v>
      </c>
      <c r="J193" s="75">
        <v>0</v>
      </c>
      <c r="L193" s="45">
        <f t="shared" si="6"/>
        <v>0</v>
      </c>
    </row>
    <row r="194" spans="1:12" x14ac:dyDescent="0.25">
      <c r="A194" t="s">
        <v>334</v>
      </c>
      <c r="B194" t="s">
        <v>335</v>
      </c>
      <c r="C194" s="45">
        <v>-1.62</v>
      </c>
      <c r="D194" s="45">
        <v>22.49</v>
      </c>
      <c r="E194" s="45">
        <v>107.2</v>
      </c>
      <c r="F194" s="45">
        <v>-7.2</v>
      </c>
      <c r="G194" s="45">
        <v>24.11</v>
      </c>
      <c r="H194" s="115">
        <v>22.49</v>
      </c>
      <c r="J194" s="75">
        <v>22.49</v>
      </c>
      <c r="L194" s="45">
        <f t="shared" si="6"/>
        <v>0</v>
      </c>
    </row>
    <row r="195" spans="1:12" x14ac:dyDescent="0.25">
      <c r="A195" t="s">
        <v>336</v>
      </c>
      <c r="B195" t="s">
        <v>337</v>
      </c>
      <c r="H195" s="115">
        <v>0</v>
      </c>
      <c r="J195" s="75">
        <v>0</v>
      </c>
      <c r="L195" s="45">
        <f t="shared" si="6"/>
        <v>0</v>
      </c>
    </row>
    <row r="196" spans="1:12" x14ac:dyDescent="0.25">
      <c r="A196" t="s">
        <v>338</v>
      </c>
      <c r="B196" t="s">
        <v>339</v>
      </c>
      <c r="H196" s="115">
        <v>0</v>
      </c>
      <c r="J196" s="75">
        <v>0</v>
      </c>
      <c r="L196" s="45">
        <f t="shared" si="6"/>
        <v>0</v>
      </c>
    </row>
    <row r="197" spans="1:12" x14ac:dyDescent="0.25">
      <c r="A197" t="s">
        <v>340</v>
      </c>
      <c r="B197" t="s">
        <v>341</v>
      </c>
      <c r="C197" s="46">
        <v>-9145002.5</v>
      </c>
      <c r="D197" s="46">
        <v>-30277905.449999999</v>
      </c>
      <c r="E197" s="46">
        <v>69.8</v>
      </c>
      <c r="F197" s="46">
        <v>30.2</v>
      </c>
      <c r="G197" s="46">
        <v>-21132902.949999999</v>
      </c>
      <c r="H197" s="116">
        <v>-28864549.32</v>
      </c>
      <c r="J197" s="76">
        <v>-29898461.93</v>
      </c>
      <c r="L197" s="46">
        <f t="shared" si="6"/>
        <v>1033912.6099999994</v>
      </c>
    </row>
    <row r="198" spans="1:12" x14ac:dyDescent="0.25">
      <c r="A198" t="s">
        <v>12</v>
      </c>
      <c r="B198" t="s">
        <v>12</v>
      </c>
      <c r="H198" s="115"/>
      <c r="J198" s="75"/>
    </row>
    <row r="199" spans="1:12" x14ac:dyDescent="0.25">
      <c r="A199" t="s">
        <v>342</v>
      </c>
      <c r="B199" t="s">
        <v>343</v>
      </c>
      <c r="C199" s="46"/>
      <c r="D199" s="46"/>
      <c r="E199" s="46"/>
      <c r="F199" s="46"/>
      <c r="G199" s="46"/>
      <c r="H199" s="116"/>
      <c r="J199" s="76"/>
      <c r="L199" s="46"/>
    </row>
    <row r="200" spans="1:12" x14ac:dyDescent="0.25">
      <c r="A200" t="s">
        <v>344</v>
      </c>
      <c r="B200" t="s">
        <v>345</v>
      </c>
      <c r="H200" s="115">
        <v>0</v>
      </c>
      <c r="J200" s="75">
        <v>0</v>
      </c>
      <c r="L200" s="45">
        <f t="shared" ref="L200:L208" si="7">H200-J200</f>
        <v>0</v>
      </c>
    </row>
    <row r="201" spans="1:12" x14ac:dyDescent="0.25">
      <c r="A201" t="s">
        <v>346</v>
      </c>
      <c r="B201" t="s">
        <v>347</v>
      </c>
      <c r="H201" s="115">
        <v>0</v>
      </c>
      <c r="J201" s="75">
        <v>0</v>
      </c>
      <c r="L201" s="45">
        <f t="shared" si="7"/>
        <v>0</v>
      </c>
    </row>
    <row r="202" spans="1:12" x14ac:dyDescent="0.25">
      <c r="A202" t="s">
        <v>348</v>
      </c>
      <c r="B202" t="s">
        <v>349</v>
      </c>
      <c r="D202" s="45">
        <v>42000</v>
      </c>
      <c r="E202" s="45">
        <v>100</v>
      </c>
      <c r="G202" s="45">
        <v>42000</v>
      </c>
      <c r="H202" s="115">
        <v>1000</v>
      </c>
      <c r="J202" s="75">
        <v>1000</v>
      </c>
      <c r="L202" s="45">
        <f t="shared" si="7"/>
        <v>0</v>
      </c>
    </row>
    <row r="203" spans="1:12" x14ac:dyDescent="0.25">
      <c r="A203" t="s">
        <v>350</v>
      </c>
      <c r="B203" t="s">
        <v>351</v>
      </c>
      <c r="H203" s="115">
        <v>0</v>
      </c>
      <c r="J203" s="75">
        <v>0</v>
      </c>
      <c r="L203" s="45">
        <f t="shared" si="7"/>
        <v>0</v>
      </c>
    </row>
    <row r="204" spans="1:12" x14ac:dyDescent="0.25">
      <c r="A204" t="s">
        <v>352</v>
      </c>
      <c r="B204" t="s">
        <v>353</v>
      </c>
      <c r="H204" s="115">
        <v>0</v>
      </c>
      <c r="J204" s="75">
        <v>0</v>
      </c>
      <c r="L204" s="45">
        <f t="shared" si="7"/>
        <v>0</v>
      </c>
    </row>
    <row r="205" spans="1:12" x14ac:dyDescent="0.25">
      <c r="A205" t="s">
        <v>354</v>
      </c>
      <c r="B205" t="s">
        <v>355</v>
      </c>
      <c r="C205" s="45">
        <v>-1246.72</v>
      </c>
      <c r="G205" s="45">
        <v>1246.72</v>
      </c>
      <c r="H205" s="115">
        <v>-1246.72</v>
      </c>
      <c r="J205" s="75">
        <v>230.07</v>
      </c>
      <c r="L205" s="45">
        <f t="shared" si="7"/>
        <v>-1476.79</v>
      </c>
    </row>
    <row r="206" spans="1:12" x14ac:dyDescent="0.25">
      <c r="A206" t="s">
        <v>356</v>
      </c>
      <c r="B206" t="s">
        <v>357</v>
      </c>
      <c r="H206" s="115">
        <v>0</v>
      </c>
      <c r="J206" s="75">
        <v>0</v>
      </c>
      <c r="L206" s="45">
        <f t="shared" si="7"/>
        <v>0</v>
      </c>
    </row>
    <row r="207" spans="1:12" x14ac:dyDescent="0.25">
      <c r="A207" t="s">
        <v>358</v>
      </c>
      <c r="B207" t="s">
        <v>359</v>
      </c>
      <c r="H207" s="115">
        <v>0</v>
      </c>
      <c r="J207" s="75">
        <v>0</v>
      </c>
      <c r="L207" s="45">
        <f t="shared" si="7"/>
        <v>0</v>
      </c>
    </row>
    <row r="208" spans="1:12" x14ac:dyDescent="0.25">
      <c r="A208" t="s">
        <v>360</v>
      </c>
      <c r="B208" t="s">
        <v>361</v>
      </c>
      <c r="C208" s="46">
        <v>-1246.72</v>
      </c>
      <c r="D208" s="46">
        <v>42000</v>
      </c>
      <c r="E208" s="46">
        <v>102.97</v>
      </c>
      <c r="F208" s="46">
        <v>-2.97</v>
      </c>
      <c r="G208" s="46">
        <v>43246.720000000001</v>
      </c>
      <c r="H208" s="116">
        <v>-246.72000000000003</v>
      </c>
      <c r="J208" s="76">
        <v>1230.07</v>
      </c>
      <c r="L208" s="46">
        <f t="shared" si="7"/>
        <v>-1476.79</v>
      </c>
    </row>
    <row r="209" spans="1:12" x14ac:dyDescent="0.25">
      <c r="A209" t="s">
        <v>12</v>
      </c>
      <c r="B209" t="s">
        <v>12</v>
      </c>
      <c r="H209" s="115"/>
      <c r="J209" s="75"/>
    </row>
    <row r="210" spans="1:12" x14ac:dyDescent="0.25">
      <c r="A210" t="s">
        <v>362</v>
      </c>
      <c r="B210" t="s">
        <v>40</v>
      </c>
      <c r="C210" s="46"/>
      <c r="D210" s="46"/>
      <c r="E210" s="46"/>
      <c r="F210" s="46"/>
      <c r="G210" s="46"/>
      <c r="H210" s="116"/>
      <c r="J210" s="76"/>
      <c r="L210" s="46"/>
    </row>
    <row r="211" spans="1:12" x14ac:dyDescent="0.25">
      <c r="A211" t="s">
        <v>363</v>
      </c>
      <c r="B211" t="s">
        <v>364</v>
      </c>
      <c r="D211" s="45">
        <v>-245.74</v>
      </c>
      <c r="E211" s="45">
        <v>100</v>
      </c>
      <c r="G211" s="45">
        <v>-245.74</v>
      </c>
      <c r="H211" s="115">
        <v>-245.74</v>
      </c>
      <c r="J211" s="75">
        <v>-245.74</v>
      </c>
      <c r="L211" s="45">
        <f t="shared" ref="L211:L218" si="8">H211-J211</f>
        <v>0</v>
      </c>
    </row>
    <row r="212" spans="1:12" x14ac:dyDescent="0.25">
      <c r="A212" t="s">
        <v>365</v>
      </c>
      <c r="B212" t="s">
        <v>366</v>
      </c>
      <c r="C212" s="45">
        <v>-120582.87</v>
      </c>
      <c r="D212" s="45">
        <v>-456010</v>
      </c>
      <c r="E212" s="45">
        <v>73.56</v>
      </c>
      <c r="F212" s="45">
        <v>26.44</v>
      </c>
      <c r="G212" s="45">
        <v>-335427.13</v>
      </c>
      <c r="H212" s="115">
        <v>-283562</v>
      </c>
      <c r="J212" s="75">
        <v>-294562</v>
      </c>
      <c r="L212" s="45">
        <f t="shared" si="8"/>
        <v>11000</v>
      </c>
    </row>
    <row r="213" spans="1:12" x14ac:dyDescent="0.25">
      <c r="A213" t="s">
        <v>367</v>
      </c>
      <c r="B213" t="s">
        <v>368</v>
      </c>
      <c r="C213" s="45">
        <v>-3697.24</v>
      </c>
      <c r="G213" s="45">
        <v>3697.24</v>
      </c>
      <c r="H213" s="115">
        <v>-3697.24</v>
      </c>
      <c r="J213" s="75">
        <v>-367.06</v>
      </c>
      <c r="L213" s="45">
        <f t="shared" si="8"/>
        <v>-3330.18</v>
      </c>
    </row>
    <row r="214" spans="1:12" x14ac:dyDescent="0.25">
      <c r="A214" t="s">
        <v>369</v>
      </c>
      <c r="B214" t="s">
        <v>370</v>
      </c>
      <c r="C214" s="45">
        <v>-7016.51</v>
      </c>
      <c r="D214" s="45">
        <v>-7227.84</v>
      </c>
      <c r="E214" s="45">
        <v>2.92</v>
      </c>
      <c r="F214" s="45">
        <v>97.08</v>
      </c>
      <c r="G214" s="45">
        <v>-211.33</v>
      </c>
      <c r="H214" s="115">
        <v>-13170.32</v>
      </c>
      <c r="J214" s="75">
        <v>-9765.15</v>
      </c>
      <c r="L214" s="45">
        <f t="shared" si="8"/>
        <v>-3405.17</v>
      </c>
    </row>
    <row r="215" spans="1:12" x14ac:dyDescent="0.25">
      <c r="A215" t="s">
        <v>371</v>
      </c>
      <c r="B215" t="s">
        <v>372</v>
      </c>
      <c r="H215" s="115">
        <v>0</v>
      </c>
      <c r="J215" s="75">
        <v>0</v>
      </c>
      <c r="L215" s="45">
        <f t="shared" si="8"/>
        <v>0</v>
      </c>
    </row>
    <row r="216" spans="1:12" x14ac:dyDescent="0.25">
      <c r="A216" t="s">
        <v>373</v>
      </c>
      <c r="B216" t="s">
        <v>374</v>
      </c>
      <c r="H216" s="115">
        <v>0</v>
      </c>
      <c r="J216" s="75">
        <v>0</v>
      </c>
      <c r="L216" s="45">
        <f t="shared" si="8"/>
        <v>0</v>
      </c>
    </row>
    <row r="217" spans="1:12" x14ac:dyDescent="0.25">
      <c r="A217" t="s">
        <v>375</v>
      </c>
      <c r="B217" t="s">
        <v>376</v>
      </c>
      <c r="C217" s="45">
        <v>-307.70999999999998</v>
      </c>
      <c r="G217" s="45">
        <v>307.70999999999998</v>
      </c>
      <c r="H217" s="115">
        <v>-307.70999999999998</v>
      </c>
      <c r="J217" s="75">
        <v>-307.70999999999998</v>
      </c>
      <c r="L217" s="45">
        <f t="shared" si="8"/>
        <v>0</v>
      </c>
    </row>
    <row r="218" spans="1:12" x14ac:dyDescent="0.25">
      <c r="A218" t="s">
        <v>377</v>
      </c>
      <c r="B218" t="s">
        <v>378</v>
      </c>
      <c r="C218" s="46">
        <v>-131604.32999999999</v>
      </c>
      <c r="D218" s="46">
        <v>-463483.58</v>
      </c>
      <c r="E218" s="46">
        <v>71.61</v>
      </c>
      <c r="F218" s="46">
        <v>28.39</v>
      </c>
      <c r="G218" s="46">
        <v>-331879.25</v>
      </c>
      <c r="H218" s="116">
        <v>-300983.01</v>
      </c>
      <c r="J218" s="76">
        <v>-305247.66000000003</v>
      </c>
      <c r="L218" s="46">
        <f t="shared" si="8"/>
        <v>4264.6500000000233</v>
      </c>
    </row>
    <row r="219" spans="1:12" x14ac:dyDescent="0.25">
      <c r="A219" t="s">
        <v>12</v>
      </c>
      <c r="B219" t="s">
        <v>12</v>
      </c>
      <c r="H219" s="115"/>
      <c r="J219" s="75"/>
    </row>
    <row r="220" spans="1:12" x14ac:dyDescent="0.25">
      <c r="A220" t="s">
        <v>379</v>
      </c>
      <c r="B220" t="s">
        <v>380</v>
      </c>
      <c r="C220" s="46"/>
      <c r="D220" s="46"/>
      <c r="E220" s="46"/>
      <c r="F220" s="46"/>
      <c r="G220" s="46"/>
      <c r="H220" s="116"/>
      <c r="J220" s="76"/>
      <c r="L220" s="46"/>
    </row>
    <row r="221" spans="1:12" x14ac:dyDescent="0.25">
      <c r="A221" t="s">
        <v>381</v>
      </c>
      <c r="B221" t="s">
        <v>380</v>
      </c>
      <c r="H221" s="115">
        <v>0</v>
      </c>
      <c r="J221" s="75">
        <v>0</v>
      </c>
      <c r="L221" s="45">
        <f>H221-J221</f>
        <v>0</v>
      </c>
    </row>
    <row r="222" spans="1:12" x14ac:dyDescent="0.25">
      <c r="A222" t="s">
        <v>382</v>
      </c>
      <c r="B222" t="s">
        <v>383</v>
      </c>
      <c r="C222" s="46"/>
      <c r="D222" s="46"/>
      <c r="E222" s="46"/>
      <c r="F222" s="46"/>
      <c r="G222" s="46"/>
      <c r="H222" s="116">
        <v>0</v>
      </c>
      <c r="J222" s="76">
        <v>0</v>
      </c>
      <c r="L222" s="46">
        <f>H222-J222</f>
        <v>0</v>
      </c>
    </row>
    <row r="223" spans="1:12" x14ac:dyDescent="0.25">
      <c r="A223" t="s">
        <v>12</v>
      </c>
      <c r="B223" t="s">
        <v>12</v>
      </c>
      <c r="H223" s="115"/>
      <c r="J223" s="75"/>
    </row>
    <row r="224" spans="1:12" x14ac:dyDescent="0.25">
      <c r="A224" t="s">
        <v>384</v>
      </c>
      <c r="B224" t="s">
        <v>385</v>
      </c>
      <c r="C224" s="46"/>
      <c r="D224" s="46"/>
      <c r="E224" s="46"/>
      <c r="F224" s="46"/>
      <c r="G224" s="46"/>
      <c r="H224" s="116"/>
      <c r="J224" s="76"/>
      <c r="L224" s="46"/>
    </row>
    <row r="225" spans="1:12" x14ac:dyDescent="0.25">
      <c r="A225" t="s">
        <v>386</v>
      </c>
      <c r="B225" t="s">
        <v>385</v>
      </c>
      <c r="H225" s="115">
        <v>0</v>
      </c>
      <c r="J225" s="75">
        <v>0</v>
      </c>
      <c r="L225" s="45">
        <f>H225-J225</f>
        <v>0</v>
      </c>
    </row>
    <row r="226" spans="1:12" x14ac:dyDescent="0.25">
      <c r="A226" t="s">
        <v>387</v>
      </c>
      <c r="B226" t="s">
        <v>388</v>
      </c>
      <c r="C226" s="46"/>
      <c r="D226" s="46"/>
      <c r="E226" s="46"/>
      <c r="F226" s="46"/>
      <c r="G226" s="46"/>
      <c r="H226" s="116">
        <v>0</v>
      </c>
      <c r="J226" s="76">
        <v>0</v>
      </c>
      <c r="L226" s="46">
        <f>H226-J226</f>
        <v>0</v>
      </c>
    </row>
    <row r="227" spans="1:12" x14ac:dyDescent="0.25">
      <c r="A227" t="s">
        <v>12</v>
      </c>
      <c r="B227" t="s">
        <v>12</v>
      </c>
      <c r="H227" s="115"/>
      <c r="J227" s="75"/>
    </row>
    <row r="228" spans="1:12" ht="15.75" thickBot="1" x14ac:dyDescent="0.3">
      <c r="A228" t="s">
        <v>389</v>
      </c>
      <c r="B228" t="s">
        <v>390</v>
      </c>
      <c r="C228" s="47">
        <v>8635017.6400000006</v>
      </c>
      <c r="D228" s="47">
        <v>-1120486.18</v>
      </c>
      <c r="E228" s="47">
        <v>870.65</v>
      </c>
      <c r="F228" s="47">
        <v>-770.65</v>
      </c>
      <c r="G228" s="47">
        <v>-9755503.8200000003</v>
      </c>
      <c r="H228" s="117">
        <v>-2851299.0100000016</v>
      </c>
      <c r="J228" s="77">
        <v>-242676.14606866241</v>
      </c>
      <c r="L228" s="47">
        <f>H228-J228</f>
        <v>-2608622.8639313392</v>
      </c>
    </row>
    <row r="229" spans="1:12" ht="15.75" thickTop="1" x14ac:dyDescent="0.25">
      <c r="A229" t="s">
        <v>12</v>
      </c>
      <c r="B229" t="s">
        <v>12</v>
      </c>
      <c r="H229" s="115"/>
      <c r="J229" s="75"/>
    </row>
    <row r="230" spans="1:12" x14ac:dyDescent="0.25">
      <c r="A230" t="s">
        <v>391</v>
      </c>
      <c r="B230" t="s">
        <v>392</v>
      </c>
      <c r="C230" s="46"/>
      <c r="D230" s="46"/>
      <c r="E230" s="46"/>
      <c r="F230" s="46"/>
      <c r="G230" s="46"/>
      <c r="H230" s="116"/>
      <c r="J230" s="76"/>
      <c r="L230" s="46"/>
    </row>
    <row r="231" spans="1:12" x14ac:dyDescent="0.25">
      <c r="A231" t="s">
        <v>393</v>
      </c>
      <c r="B231" t="s">
        <v>394</v>
      </c>
      <c r="H231" s="115">
        <v>0</v>
      </c>
      <c r="J231" s="75">
        <v>0</v>
      </c>
      <c r="L231" s="45">
        <f t="shared" ref="L231:L236" si="9">H231-J231</f>
        <v>0</v>
      </c>
    </row>
    <row r="232" spans="1:12" x14ac:dyDescent="0.25">
      <c r="A232" t="s">
        <v>395</v>
      </c>
      <c r="B232" t="s">
        <v>396</v>
      </c>
      <c r="H232" s="115">
        <v>0</v>
      </c>
      <c r="J232" s="75">
        <v>0</v>
      </c>
      <c r="L232" s="45">
        <f t="shared" si="9"/>
        <v>0</v>
      </c>
    </row>
    <row r="233" spans="1:12" x14ac:dyDescent="0.25">
      <c r="A233" t="s">
        <v>397</v>
      </c>
      <c r="B233" t="s">
        <v>398</v>
      </c>
      <c r="H233" s="115">
        <v>0</v>
      </c>
      <c r="J233" s="75">
        <v>0</v>
      </c>
      <c r="L233" s="45">
        <f t="shared" si="9"/>
        <v>0</v>
      </c>
    </row>
    <row r="234" spans="1:12" x14ac:dyDescent="0.25">
      <c r="A234" t="s">
        <v>399</v>
      </c>
      <c r="B234" t="s">
        <v>400</v>
      </c>
      <c r="C234" s="46"/>
      <c r="D234" s="46"/>
      <c r="E234" s="46"/>
      <c r="F234" s="46"/>
      <c r="G234" s="46"/>
      <c r="H234" s="116">
        <v>0</v>
      </c>
      <c r="J234" s="76">
        <v>0</v>
      </c>
      <c r="L234" s="46">
        <f t="shared" si="9"/>
        <v>0</v>
      </c>
    </row>
    <row r="235" spans="1:12" x14ac:dyDescent="0.25">
      <c r="A235" t="s">
        <v>12</v>
      </c>
      <c r="B235" t="s">
        <v>12</v>
      </c>
      <c r="H235" s="115">
        <v>0</v>
      </c>
      <c r="J235" s="75"/>
    </row>
    <row r="236" spans="1:12" ht="15.75" thickBot="1" x14ac:dyDescent="0.3">
      <c r="A236" t="s">
        <v>12</v>
      </c>
      <c r="B236" t="s">
        <v>46</v>
      </c>
      <c r="C236" s="47">
        <v>8635017.6400000006</v>
      </c>
      <c r="D236" s="47">
        <v>-1120486.18</v>
      </c>
      <c r="E236" s="47">
        <v>870.65</v>
      </c>
      <c r="F236" s="47">
        <v>-770.65</v>
      </c>
      <c r="G236" s="47">
        <v>-9755503.8200000003</v>
      </c>
      <c r="H236" s="117">
        <v>-2851299.0100000016</v>
      </c>
      <c r="J236" s="77">
        <v>-242676.14606866241</v>
      </c>
      <c r="L236" s="47">
        <f t="shared" si="9"/>
        <v>-2608622.8639313392</v>
      </c>
    </row>
    <row r="237" spans="1:12" ht="15.75" thickTop="1" x14ac:dyDescent="0.25">
      <c r="A237" t="s">
        <v>12</v>
      </c>
      <c r="B237" t="s">
        <v>12</v>
      </c>
      <c r="H237" s="115"/>
      <c r="J237" s="75"/>
    </row>
    <row r="238" spans="1:12" x14ac:dyDescent="0.25">
      <c r="A238" t="s">
        <v>401</v>
      </c>
      <c r="B238" t="s">
        <v>402</v>
      </c>
      <c r="H238" s="115">
        <v>0</v>
      </c>
      <c r="J238" s="75">
        <v>0</v>
      </c>
      <c r="L238" s="45">
        <f t="shared" ref="L238:L244" si="10">H238-J238</f>
        <v>0</v>
      </c>
    </row>
    <row r="239" spans="1:12" x14ac:dyDescent="0.25">
      <c r="A239" t="s">
        <v>403</v>
      </c>
      <c r="B239" t="s">
        <v>404</v>
      </c>
      <c r="C239" s="45">
        <v>85929.24</v>
      </c>
      <c r="G239" s="45">
        <v>-85929.24</v>
      </c>
      <c r="H239" s="115">
        <v>0</v>
      </c>
      <c r="J239" s="75">
        <v>0</v>
      </c>
      <c r="L239" s="45">
        <f t="shared" si="10"/>
        <v>0</v>
      </c>
    </row>
    <row r="240" spans="1:12" x14ac:dyDescent="0.25">
      <c r="A240" t="s">
        <v>405</v>
      </c>
      <c r="B240" t="s">
        <v>406</v>
      </c>
      <c r="C240" s="45">
        <v>-1619347.55</v>
      </c>
      <c r="D240" s="45">
        <v>-3644077.35</v>
      </c>
      <c r="E240" s="45">
        <v>55.56</v>
      </c>
      <c r="F240" s="45">
        <v>44.44</v>
      </c>
      <c r="G240" s="45">
        <v>-2024729.8</v>
      </c>
      <c r="H240" s="115">
        <v>-3146560.6999999997</v>
      </c>
      <c r="J240" s="75">
        <v>-3107462.06</v>
      </c>
      <c r="L240" s="45">
        <f t="shared" si="10"/>
        <v>-39098.639999999665</v>
      </c>
    </row>
    <row r="241" spans="1:12" x14ac:dyDescent="0.25">
      <c r="A241" t="s">
        <v>407</v>
      </c>
      <c r="B241" t="s">
        <v>408</v>
      </c>
      <c r="H241" s="115">
        <v>0</v>
      </c>
      <c r="J241" s="75">
        <v>0</v>
      </c>
      <c r="L241" s="45">
        <f t="shared" si="10"/>
        <v>0</v>
      </c>
    </row>
    <row r="242" spans="1:12" x14ac:dyDescent="0.25">
      <c r="A242" t="s">
        <v>409</v>
      </c>
      <c r="B242" t="s">
        <v>410</v>
      </c>
      <c r="C242" s="46">
        <v>-1533418.31</v>
      </c>
      <c r="D242" s="46">
        <v>-3644077.35</v>
      </c>
      <c r="E242" s="46">
        <v>57.92</v>
      </c>
      <c r="F242" s="46">
        <v>42.08</v>
      </c>
      <c r="G242" s="46">
        <v>-2110659.04</v>
      </c>
      <c r="H242" s="116">
        <v>-3146560.6999999997</v>
      </c>
      <c r="J242" s="76">
        <v>-3107462.06</v>
      </c>
      <c r="L242" s="46">
        <f t="shared" si="10"/>
        <v>-39098.639999999665</v>
      </c>
    </row>
    <row r="243" spans="1:12" x14ac:dyDescent="0.25">
      <c r="A243" t="s">
        <v>12</v>
      </c>
      <c r="B243" t="s">
        <v>12</v>
      </c>
      <c r="H243" s="115"/>
      <c r="J243" s="75"/>
    </row>
    <row r="244" spans="1:12" ht="15.75" thickBot="1" x14ac:dyDescent="0.3">
      <c r="A244" t="s">
        <v>411</v>
      </c>
      <c r="B244" t="s">
        <v>49</v>
      </c>
      <c r="C244" s="47">
        <v>7101599.3300000001</v>
      </c>
      <c r="D244" s="47">
        <v>-4764563.53</v>
      </c>
      <c r="E244" s="47">
        <v>249.05</v>
      </c>
      <c r="F244" s="47">
        <v>-149.05000000000001</v>
      </c>
      <c r="G244" s="47">
        <v>-11866162.859999999</v>
      </c>
      <c r="H244" s="117">
        <v>-5997859.7100000009</v>
      </c>
      <c r="J244" s="77">
        <v>-3350138.2060686611</v>
      </c>
      <c r="L244" s="47">
        <f t="shared" si="10"/>
        <v>-2647721.5039313398</v>
      </c>
    </row>
    <row r="245" spans="1:12" ht="15.75" thickTop="1" x14ac:dyDescent="0.25"/>
  </sheetData>
  <sheetProtection algorithmName="SHA-512" hashValue="EtJ/J3QFJgjv/0VtDO6ocXaxTel6BNxlDqCidBHxVrOPBSmtAwwFkZ+ph3vbnmwnMiFOYZGG2L+kU0sWtoCa1g==" saltValue="IO6tBtPiWrs4sYFlSq/Eeg==" spinCount="100000" sheet="1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5EE02D-3D62-46C0-8165-9F8932707A7E}">
  <dimension ref="A1:R29"/>
  <sheetViews>
    <sheetView workbookViewId="0">
      <selection activeCell="L31" sqref="L31"/>
    </sheetView>
  </sheetViews>
  <sheetFormatPr defaultRowHeight="15" x14ac:dyDescent="0.25"/>
  <cols>
    <col min="1" max="1" width="17.7109375" bestFit="1" customWidth="1"/>
    <col min="2" max="2" width="41" bestFit="1" customWidth="1"/>
    <col min="3" max="4" width="14" hidden="1" customWidth="1"/>
    <col min="5" max="5" width="10.28515625" hidden="1" customWidth="1"/>
    <col min="6" max="6" width="19.42578125" hidden="1" customWidth="1"/>
    <col min="7" max="7" width="14" hidden="1" customWidth="1"/>
    <col min="8" max="8" width="14.28515625" hidden="1" customWidth="1"/>
    <col min="9" max="9" width="14.28515625" bestFit="1" customWidth="1"/>
    <col min="11" max="11" width="13.28515625" style="53" bestFit="1" customWidth="1"/>
    <col min="12" max="12" width="14.28515625" style="53" bestFit="1" customWidth="1"/>
    <col min="13" max="13" width="13.28515625" style="53" bestFit="1" customWidth="1"/>
    <col min="14" max="17" width="14.28515625" style="53" bestFit="1" customWidth="1"/>
    <col min="18" max="18" width="16.140625" style="53" bestFit="1" customWidth="1"/>
  </cols>
  <sheetData>
    <row r="1" spans="1:18" s="40" customFormat="1" x14ac:dyDescent="0.25">
      <c r="A1" s="41" t="s">
        <v>0</v>
      </c>
      <c r="C1" s="45"/>
      <c r="D1" s="45"/>
      <c r="E1" s="45"/>
      <c r="F1" s="45"/>
      <c r="G1" s="45"/>
      <c r="H1" s="48"/>
      <c r="I1" s="48"/>
      <c r="K1" s="52"/>
      <c r="L1" s="52"/>
      <c r="M1" s="52"/>
      <c r="N1" s="52"/>
      <c r="O1" s="52"/>
      <c r="P1" s="52"/>
      <c r="Q1" s="52"/>
      <c r="R1" s="52"/>
    </row>
    <row r="2" spans="1:18" s="40" customFormat="1" x14ac:dyDescent="0.25">
      <c r="A2" s="42" t="s">
        <v>1</v>
      </c>
      <c r="B2" s="42" t="s">
        <v>2</v>
      </c>
      <c r="C2" s="45"/>
      <c r="D2" s="45"/>
      <c r="E2" s="45"/>
      <c r="F2" s="45"/>
      <c r="G2" s="45"/>
      <c r="H2" s="48"/>
      <c r="I2" s="48"/>
      <c r="K2" s="52"/>
      <c r="L2" s="52"/>
      <c r="M2" s="52"/>
      <c r="N2" s="52"/>
      <c r="O2" s="52"/>
      <c r="P2" s="52"/>
      <c r="Q2" s="52"/>
      <c r="R2" s="52"/>
    </row>
    <row r="3" spans="1:18" s="40" customFormat="1" x14ac:dyDescent="0.25">
      <c r="A3" s="42" t="s">
        <v>3</v>
      </c>
      <c r="B3" s="42" t="s">
        <v>4</v>
      </c>
      <c r="C3" s="45"/>
      <c r="D3" s="45"/>
      <c r="E3" s="45"/>
      <c r="F3" s="45"/>
      <c r="G3" s="45"/>
      <c r="H3" s="48"/>
      <c r="I3" s="48"/>
      <c r="K3" s="52"/>
      <c r="L3" s="52"/>
      <c r="M3" s="52"/>
      <c r="N3" s="52"/>
      <c r="O3" s="52"/>
      <c r="P3" s="52"/>
      <c r="Q3" s="52"/>
      <c r="R3" s="52"/>
    </row>
    <row r="4" spans="1:18" s="40" customFormat="1" x14ac:dyDescent="0.25">
      <c r="C4" s="45"/>
      <c r="D4" s="45"/>
      <c r="E4" s="45"/>
      <c r="F4" s="45"/>
      <c r="G4" s="45"/>
      <c r="H4" s="48"/>
      <c r="I4" s="48"/>
      <c r="K4" s="52"/>
      <c r="L4" s="52"/>
      <c r="M4" s="52"/>
      <c r="N4" s="52"/>
      <c r="O4" s="52"/>
      <c r="P4" s="52"/>
      <c r="Q4" s="52"/>
      <c r="R4" s="52"/>
    </row>
    <row r="5" spans="1:18" s="40" customFormat="1" x14ac:dyDescent="0.25">
      <c r="A5" s="42" t="s">
        <v>5</v>
      </c>
      <c r="B5" s="42" t="s">
        <v>6</v>
      </c>
      <c r="C5" s="45"/>
      <c r="D5" s="45"/>
      <c r="E5" s="45"/>
      <c r="F5" s="45"/>
      <c r="G5" s="45"/>
      <c r="H5" s="48"/>
      <c r="I5" s="48"/>
      <c r="K5" s="52"/>
      <c r="L5" s="52"/>
      <c r="M5" s="52"/>
      <c r="N5" s="52"/>
      <c r="O5" s="52"/>
      <c r="P5" s="52"/>
      <c r="Q5" s="52"/>
      <c r="R5" s="52"/>
    </row>
    <row r="6" spans="1:18" s="40" customFormat="1" x14ac:dyDescent="0.25">
      <c r="C6" s="45"/>
      <c r="D6" s="45"/>
      <c r="E6" s="45"/>
      <c r="F6" s="45"/>
      <c r="G6" s="45"/>
      <c r="K6" s="53" t="s">
        <v>429</v>
      </c>
      <c r="L6" s="53" t="s">
        <v>430</v>
      </c>
      <c r="M6" s="53" t="s">
        <v>431</v>
      </c>
      <c r="N6" s="53" t="s">
        <v>432</v>
      </c>
      <c r="O6" s="53" t="s">
        <v>433</v>
      </c>
      <c r="P6" s="53" t="s">
        <v>434</v>
      </c>
      <c r="Q6" s="53" t="s">
        <v>435</v>
      </c>
      <c r="R6" s="53" t="s">
        <v>487</v>
      </c>
    </row>
    <row r="7" spans="1:18" s="40" customFormat="1" x14ac:dyDescent="0.25">
      <c r="C7" s="45" t="s">
        <v>7</v>
      </c>
      <c r="D7" s="45" t="s">
        <v>8</v>
      </c>
      <c r="E7" s="45" t="s">
        <v>9</v>
      </c>
      <c r="F7" s="45" t="s">
        <v>10</v>
      </c>
      <c r="G7" s="45" t="s">
        <v>11</v>
      </c>
      <c r="H7" s="48" t="s">
        <v>428</v>
      </c>
      <c r="I7" s="48" t="s">
        <v>472</v>
      </c>
      <c r="K7" s="52"/>
      <c r="L7" s="52"/>
      <c r="M7" s="52"/>
      <c r="N7" s="52"/>
      <c r="O7" s="52"/>
      <c r="P7" s="52"/>
      <c r="Q7" s="52"/>
      <c r="R7" s="52"/>
    </row>
    <row r="8" spans="1:18" s="40" customFormat="1" x14ac:dyDescent="0.25">
      <c r="A8" s="43" t="s">
        <v>12</v>
      </c>
      <c r="B8" s="43" t="s">
        <v>13</v>
      </c>
      <c r="C8" s="46" t="s">
        <v>478</v>
      </c>
      <c r="D8" s="46"/>
      <c r="E8" s="46"/>
      <c r="F8" s="46"/>
      <c r="G8" s="46"/>
      <c r="H8" s="88"/>
      <c r="I8" s="88">
        <v>2022</v>
      </c>
      <c r="K8" s="88"/>
      <c r="L8" s="88"/>
      <c r="M8" s="88"/>
      <c r="N8" s="88"/>
      <c r="O8" s="88"/>
      <c r="P8" s="88"/>
      <c r="Q8" s="88"/>
      <c r="R8" s="88"/>
    </row>
    <row r="9" spans="1:18" s="40" customFormat="1" x14ac:dyDescent="0.25">
      <c r="A9" s="42" t="s">
        <v>12</v>
      </c>
      <c r="B9" s="42" t="s">
        <v>12</v>
      </c>
      <c r="C9" s="45"/>
      <c r="D9" s="45"/>
      <c r="E9" s="45"/>
      <c r="F9" s="45"/>
      <c r="G9" s="45"/>
      <c r="H9" s="48"/>
      <c r="I9" s="48"/>
      <c r="K9" s="52"/>
      <c r="L9" s="52"/>
      <c r="M9" s="52"/>
      <c r="N9" s="52"/>
      <c r="O9" s="52"/>
      <c r="P9" s="52"/>
      <c r="Q9" s="52"/>
      <c r="R9" s="52"/>
    </row>
    <row r="10" spans="1:18" s="40" customFormat="1" x14ac:dyDescent="0.25">
      <c r="A10" s="42" t="s">
        <v>12</v>
      </c>
      <c r="B10" s="42" t="s">
        <v>12</v>
      </c>
      <c r="C10" s="45"/>
      <c r="D10" s="45"/>
      <c r="E10" s="45"/>
      <c r="F10" s="45"/>
      <c r="G10" s="45"/>
      <c r="H10" s="48"/>
      <c r="I10" s="48">
        <f t="shared" ref="I10:I14" si="0">SUM(K10:R10)</f>
        <v>0</v>
      </c>
      <c r="K10" s="52">
        <f>'Fælles adm.'!J30</f>
        <v>0</v>
      </c>
      <c r="L10" s="52">
        <f>Odense!J30</f>
        <v>0</v>
      </c>
      <c r="M10" s="52">
        <f>Laks!J30</f>
        <v>0</v>
      </c>
      <c r="N10" s="52">
        <f>Assens!J30</f>
        <v>0</v>
      </c>
      <c r="O10" s="52">
        <f>Nyborg!J30</f>
        <v>0</v>
      </c>
      <c r="P10" s="52">
        <f>Nordfyn!J30</f>
        <v>0</v>
      </c>
      <c r="Q10" s="52">
        <f>Kerteminde!J30</f>
        <v>0</v>
      </c>
      <c r="R10" s="52">
        <f>'Særlige tilskud'!J30</f>
        <v>0</v>
      </c>
    </row>
    <row r="11" spans="1:18" s="40" customFormat="1" ht="15.75" thickBot="1" x14ac:dyDescent="0.3">
      <c r="A11" s="44" t="s">
        <v>45</v>
      </c>
      <c r="B11" s="44" t="s">
        <v>46</v>
      </c>
      <c r="C11" s="72">
        <f>'Budget 2022'!C30</f>
        <v>8635017.6400000006</v>
      </c>
      <c r="D11" s="72">
        <f>'Budget 2022'!D30</f>
        <v>-1120486.18</v>
      </c>
      <c r="E11" s="72">
        <v>870.65</v>
      </c>
      <c r="F11" s="72">
        <v>-770.65</v>
      </c>
      <c r="G11" s="72">
        <f>'Budget 2022'!G30</f>
        <v>-9755503.8200000003</v>
      </c>
      <c r="H11" s="72">
        <f>'Budget 2022'!H30</f>
        <v>-2851299.0100000035</v>
      </c>
      <c r="I11" s="72">
        <f>'Budget 2022'!I30</f>
        <v>4805663.5800000029</v>
      </c>
      <c r="J11" s="124"/>
      <c r="K11" s="72">
        <f>'Budget 2022'!K30</f>
        <v>-9.3132257461547852E-10</v>
      </c>
      <c r="L11" s="72">
        <f>'Budget 2022'!L30</f>
        <v>2182541.1739249993</v>
      </c>
      <c r="M11" s="72">
        <f>'Budget 2022'!M30</f>
        <v>27464.660000000149</v>
      </c>
      <c r="N11" s="72">
        <f>'Budget 2022'!N30</f>
        <v>2362759.1569250021</v>
      </c>
      <c r="O11" s="72">
        <f>'Budget 2022'!O30</f>
        <v>358312.84815500118</v>
      </c>
      <c r="P11" s="72">
        <f>'Budget 2022'!P30</f>
        <v>1754071.7108450001</v>
      </c>
      <c r="Q11" s="72">
        <f>'Budget 2022'!Q30</f>
        <v>120514.03015000094</v>
      </c>
      <c r="R11" s="72">
        <f>'Budget 2022'!R30</f>
        <v>-2000000</v>
      </c>
    </row>
    <row r="12" spans="1:18" s="40" customFormat="1" ht="15.75" thickTop="1" x14ac:dyDescent="0.25">
      <c r="A12" s="42" t="s">
        <v>12</v>
      </c>
      <c r="B12" s="42" t="s">
        <v>12</v>
      </c>
      <c r="C12" s="70"/>
      <c r="D12" s="70"/>
      <c r="E12" s="70"/>
      <c r="F12" s="70"/>
      <c r="G12" s="70"/>
      <c r="H12" s="125"/>
      <c r="I12" s="125">
        <f t="shared" si="0"/>
        <v>0</v>
      </c>
      <c r="J12" s="124"/>
      <c r="K12" s="131">
        <f>'Fælles adm.'!J32</f>
        <v>0</v>
      </c>
      <c r="L12" s="131">
        <f>Odense!J32</f>
        <v>0</v>
      </c>
      <c r="M12" s="131">
        <f>Laks!J32</f>
        <v>0</v>
      </c>
      <c r="N12" s="131">
        <f>Assens!J32</f>
        <v>0</v>
      </c>
      <c r="O12" s="131">
        <f>Nyborg!J32</f>
        <v>0</v>
      </c>
      <c r="P12" s="131">
        <f>Nordfyn!J32</f>
        <v>0</v>
      </c>
      <c r="Q12" s="131">
        <f>Kerteminde!J32</f>
        <v>0</v>
      </c>
      <c r="R12" s="131">
        <f>'Særlige tilskud'!J32</f>
        <v>0</v>
      </c>
    </row>
    <row r="13" spans="1:18" s="40" customFormat="1" x14ac:dyDescent="0.25">
      <c r="A13" s="42" t="s">
        <v>47</v>
      </c>
      <c r="B13" s="42" t="s">
        <v>48</v>
      </c>
      <c r="C13" s="126">
        <f>'Budget 2022'!C32</f>
        <v>-1533418.31</v>
      </c>
      <c r="D13" s="126">
        <f>'Budget 2022'!D32</f>
        <v>-3644077.35</v>
      </c>
      <c r="E13" s="126">
        <v>57.92</v>
      </c>
      <c r="F13" s="126">
        <v>42.08</v>
      </c>
      <c r="G13" s="126">
        <f>'Budget 2022'!G32</f>
        <v>-2110659.04</v>
      </c>
      <c r="H13" s="126">
        <f>'Budget 2022'!H32</f>
        <v>-3146560.6999999997</v>
      </c>
      <c r="I13" s="126">
        <f>'Budget 2022'!I32</f>
        <v>-3536874.78</v>
      </c>
      <c r="J13" s="126"/>
      <c r="K13" s="70">
        <f>'Fælles adm.'!J33</f>
        <v>0</v>
      </c>
      <c r="L13" s="70">
        <f>'Budget 2022'!L32</f>
        <v>-1438476.1099999999</v>
      </c>
      <c r="M13" s="70">
        <f>'Budget 2022'!M32</f>
        <v>-39547.33</v>
      </c>
      <c r="N13" s="70">
        <f>'Budget 2022'!N32</f>
        <v>-391818.28</v>
      </c>
      <c r="O13" s="70">
        <f>'Budget 2022'!O32</f>
        <v>-282706.99</v>
      </c>
      <c r="P13" s="70">
        <f>'Budget 2022'!P32</f>
        <v>-460093.5</v>
      </c>
      <c r="Q13" s="70">
        <f>'Budget 2022'!Q32</f>
        <v>-924232.57</v>
      </c>
      <c r="R13" s="70">
        <f>'Budget 2022'!R32</f>
        <v>0</v>
      </c>
    </row>
    <row r="14" spans="1:18" s="40" customFormat="1" x14ac:dyDescent="0.25">
      <c r="A14" s="42" t="s">
        <v>12</v>
      </c>
      <c r="B14" s="42" t="s">
        <v>12</v>
      </c>
      <c r="C14" s="70"/>
      <c r="D14" s="70"/>
      <c r="E14" s="70"/>
      <c r="F14" s="70"/>
      <c r="G14" s="70"/>
      <c r="H14" s="125"/>
      <c r="I14" s="125">
        <f t="shared" si="0"/>
        <v>0</v>
      </c>
      <c r="J14" s="124"/>
      <c r="K14" s="131">
        <f>'Fælles adm.'!J34</f>
        <v>0</v>
      </c>
      <c r="L14" s="131">
        <f>Odense!J34</f>
        <v>0</v>
      </c>
      <c r="M14" s="131">
        <f>Laks!J34</f>
        <v>0</v>
      </c>
      <c r="N14" s="131">
        <f>Assens!J34</f>
        <v>0</v>
      </c>
      <c r="O14" s="131">
        <f>Nyborg!J34</f>
        <v>0</v>
      </c>
      <c r="P14" s="131">
        <f>Nordfyn!J34</f>
        <v>0</v>
      </c>
      <c r="Q14" s="131">
        <f>Kerteminde!J34</f>
        <v>0</v>
      </c>
      <c r="R14" s="131">
        <f>'Særlige tilskud'!J34</f>
        <v>0</v>
      </c>
    </row>
    <row r="15" spans="1:18" s="40" customFormat="1" ht="15.75" thickBot="1" x14ac:dyDescent="0.3">
      <c r="A15" s="44" t="s">
        <v>12</v>
      </c>
      <c r="B15" s="44" t="s">
        <v>49</v>
      </c>
      <c r="C15" s="72">
        <f>'Budget 2022'!C34</f>
        <v>7101599.3300000001</v>
      </c>
      <c r="D15" s="72">
        <f>'Budget 2022'!D34</f>
        <v>-4764563.53</v>
      </c>
      <c r="E15" s="72">
        <f>'Budget 2022'!E34</f>
        <v>249.05</v>
      </c>
      <c r="F15" s="72">
        <v>-149.05000000000001</v>
      </c>
      <c r="G15" s="72">
        <f>'Budget 2022'!G34</f>
        <v>-11866162.859999999</v>
      </c>
      <c r="H15" s="72">
        <f>'Budget 2022'!H34</f>
        <v>-5997859.7100000028</v>
      </c>
      <c r="I15" s="72">
        <f>'Budget 2022'!I34</f>
        <v>1268788.8000000031</v>
      </c>
      <c r="J15" s="124"/>
      <c r="K15" s="72">
        <f>'Budget 2022'!K34</f>
        <v>-9.3132257461547852E-10</v>
      </c>
      <c r="L15" s="72">
        <f>'Budget 2022'!L34</f>
        <v>744065.06392499944</v>
      </c>
      <c r="M15" s="72">
        <f>'Budget 2022'!M34</f>
        <v>-12082.669999999853</v>
      </c>
      <c r="N15" s="72">
        <f>'Budget 2022'!N34</f>
        <v>1970940.8769250021</v>
      </c>
      <c r="O15" s="72">
        <f>'Budget 2022'!O34</f>
        <v>75605.858155001188</v>
      </c>
      <c r="P15" s="72">
        <f>'Budget 2022'!P34</f>
        <v>1293978.2108450001</v>
      </c>
      <c r="Q15" s="72">
        <f>'Budget 2022'!Q34</f>
        <v>-803718.53984999901</v>
      </c>
      <c r="R15" s="72">
        <f>'Budget 2022'!R34</f>
        <v>-2000000</v>
      </c>
    </row>
    <row r="16" spans="1:18" ht="15.75" thickTop="1" x14ac:dyDescent="0.25">
      <c r="C16" s="124"/>
      <c r="D16" s="124"/>
      <c r="E16" s="124"/>
      <c r="F16" s="124"/>
      <c r="G16" s="124"/>
      <c r="H16" s="124"/>
      <c r="I16" s="124"/>
      <c r="J16" s="124"/>
      <c r="K16" s="51"/>
      <c r="L16" s="51"/>
      <c r="M16" s="51"/>
      <c r="N16" s="51"/>
      <c r="O16" s="51"/>
      <c r="P16" s="51"/>
      <c r="Q16" s="51"/>
      <c r="R16" s="51"/>
    </row>
    <row r="17" spans="1:18" x14ac:dyDescent="0.25">
      <c r="C17" s="124"/>
      <c r="D17" s="124"/>
      <c r="E17" s="124"/>
      <c r="F17" s="124"/>
      <c r="G17" s="124"/>
      <c r="H17" s="124"/>
      <c r="I17" s="124"/>
      <c r="J17" s="124"/>
      <c r="K17" s="51"/>
      <c r="L17" s="51"/>
      <c r="M17" s="51"/>
      <c r="N17" s="51"/>
      <c r="O17" s="51"/>
      <c r="P17" s="51"/>
      <c r="Q17" s="51"/>
      <c r="R17" s="51"/>
    </row>
    <row r="18" spans="1:18" x14ac:dyDescent="0.25">
      <c r="B18" t="s">
        <v>503</v>
      </c>
      <c r="C18" s="124"/>
      <c r="D18" s="124"/>
      <c r="E18" s="124"/>
      <c r="F18" s="124"/>
      <c r="G18" s="124"/>
      <c r="H18" s="124"/>
      <c r="I18" s="124">
        <f>SUM(K18:R18)</f>
        <v>3536874.78</v>
      </c>
      <c r="J18" s="124"/>
      <c r="K18" s="51">
        <f>K13*-4</f>
        <v>0</v>
      </c>
      <c r="L18" s="51">
        <f t="shared" ref="L18:R18" si="1">L13*-1</f>
        <v>1438476.1099999999</v>
      </c>
      <c r="M18" s="51">
        <f t="shared" si="1"/>
        <v>39547.33</v>
      </c>
      <c r="N18" s="51">
        <f t="shared" si="1"/>
        <v>391818.28</v>
      </c>
      <c r="O18" s="51">
        <f t="shared" si="1"/>
        <v>282706.99</v>
      </c>
      <c r="P18" s="51">
        <f t="shared" si="1"/>
        <v>460093.5</v>
      </c>
      <c r="Q18" s="51">
        <f t="shared" si="1"/>
        <v>924232.57</v>
      </c>
      <c r="R18" s="51">
        <f t="shared" si="1"/>
        <v>0</v>
      </c>
    </row>
    <row r="19" spans="1:18" x14ac:dyDescent="0.25">
      <c r="B19" t="s">
        <v>504</v>
      </c>
      <c r="C19" s="124"/>
      <c r="D19" s="124"/>
      <c r="E19" s="124"/>
      <c r="F19" s="124"/>
      <c r="G19" s="124"/>
      <c r="H19" s="124"/>
      <c r="I19" s="124">
        <f>SUM(K19:R19)</f>
        <v>-3536874.7800000003</v>
      </c>
      <c r="J19" s="124"/>
      <c r="K19" s="51">
        <v>0</v>
      </c>
      <c r="L19" s="51">
        <f>I13*0.43</f>
        <v>-1520856.1553999998</v>
      </c>
      <c r="M19" s="51">
        <v>0</v>
      </c>
      <c r="N19" s="51">
        <f>I13*0.14</f>
        <v>-495162.46919999999</v>
      </c>
      <c r="O19" s="51">
        <f>I13*0.15</f>
        <v>-530531.21699999995</v>
      </c>
      <c r="P19" s="51">
        <f>I13*0.15</f>
        <v>-530531.21699999995</v>
      </c>
      <c r="Q19" s="51">
        <f>I13*0.13</f>
        <v>-459793.72139999998</v>
      </c>
      <c r="R19" s="51">
        <v>0</v>
      </c>
    </row>
    <row r="20" spans="1:18" x14ac:dyDescent="0.25">
      <c r="C20" s="124"/>
      <c r="D20" s="124"/>
      <c r="E20" s="124"/>
      <c r="F20" s="124"/>
      <c r="G20" s="124"/>
      <c r="H20" s="124"/>
      <c r="I20" s="124"/>
      <c r="J20" s="124"/>
      <c r="K20" s="51"/>
      <c r="L20" s="51"/>
      <c r="M20" s="51"/>
      <c r="N20" s="51"/>
      <c r="O20" s="51"/>
      <c r="P20" s="51"/>
      <c r="Q20" s="51"/>
      <c r="R20" s="51"/>
    </row>
    <row r="21" spans="1:18" s="40" customFormat="1" ht="15.75" thickBot="1" x14ac:dyDescent="0.3">
      <c r="A21" s="44" t="s">
        <v>12</v>
      </c>
      <c r="B21" s="44" t="s">
        <v>505</v>
      </c>
      <c r="C21" s="72"/>
      <c r="D21" s="72"/>
      <c r="E21" s="72"/>
      <c r="F21" s="72"/>
      <c r="G21" s="72"/>
      <c r="H21" s="72">
        <f>H15</f>
        <v>-5997859.7100000028</v>
      </c>
      <c r="I21" s="72">
        <f>I15+I18+I19</f>
        <v>1268788.8000000026</v>
      </c>
      <c r="J21" s="124"/>
      <c r="K21" s="72">
        <f t="shared" ref="K21:R21" si="2">K15+K18+K19</f>
        <v>-9.3132257461547852E-10</v>
      </c>
      <c r="L21" s="72">
        <f t="shared" si="2"/>
        <v>661685.0185249995</v>
      </c>
      <c r="M21" s="72">
        <f t="shared" si="2"/>
        <v>27464.660000000149</v>
      </c>
      <c r="N21" s="72">
        <f t="shared" si="2"/>
        <v>1867596.6877250022</v>
      </c>
      <c r="O21" s="72">
        <f t="shared" si="2"/>
        <v>-172218.36884499877</v>
      </c>
      <c r="P21" s="72">
        <f t="shared" si="2"/>
        <v>1223540.4938450002</v>
      </c>
      <c r="Q21" s="72">
        <f t="shared" si="2"/>
        <v>-339279.69124999904</v>
      </c>
      <c r="R21" s="72">
        <f t="shared" si="2"/>
        <v>-2000000</v>
      </c>
    </row>
    <row r="22" spans="1:18" ht="15.75" thickTop="1" x14ac:dyDescent="0.25"/>
    <row r="23" spans="1:18" s="40" customFormat="1" ht="15.75" thickBot="1" x14ac:dyDescent="0.3">
      <c r="A23" s="44"/>
      <c r="B23" s="44" t="s">
        <v>9</v>
      </c>
      <c r="C23" s="72"/>
      <c r="D23" s="72"/>
      <c r="E23" s="72"/>
      <c r="F23" s="72"/>
      <c r="G23" s="72"/>
      <c r="H23" s="72"/>
      <c r="I23" s="72"/>
      <c r="J23" s="124"/>
      <c r="K23" s="72">
        <f t="shared" ref="K23:R23" si="3">K15-K21</f>
        <v>0</v>
      </c>
      <c r="L23" s="72">
        <f t="shared" si="3"/>
        <v>82380.045399999944</v>
      </c>
      <c r="M23" s="72">
        <f t="shared" si="3"/>
        <v>-39547.33</v>
      </c>
      <c r="N23" s="72">
        <f t="shared" si="3"/>
        <v>103344.18919999991</v>
      </c>
      <c r="O23" s="72">
        <f t="shared" si="3"/>
        <v>247824.22699999996</v>
      </c>
      <c r="P23" s="72">
        <f t="shared" si="3"/>
        <v>70437.716999999946</v>
      </c>
      <c r="Q23" s="72">
        <f t="shared" si="3"/>
        <v>-464438.84859999997</v>
      </c>
      <c r="R23" s="72">
        <f t="shared" si="3"/>
        <v>0</v>
      </c>
    </row>
    <row r="24" spans="1:18" ht="15.75" thickTop="1" x14ac:dyDescent="0.25"/>
    <row r="27" spans="1:18" x14ac:dyDescent="0.25">
      <c r="L27" s="51">
        <f>R21*0.3655*-1</f>
        <v>731000</v>
      </c>
      <c r="M27" s="51"/>
      <c r="N27" s="51">
        <f>R21*0.1455*-1</f>
        <v>291000</v>
      </c>
      <c r="O27" s="51">
        <f>R21*0.1673*-1</f>
        <v>334600</v>
      </c>
      <c r="P27" s="51">
        <f>R21*0.1727*-1</f>
        <v>345400</v>
      </c>
      <c r="Q27" s="51">
        <f>R21*0.149*-1</f>
        <v>298000</v>
      </c>
    </row>
    <row r="29" spans="1:18" x14ac:dyDescent="0.25">
      <c r="L29" s="51">
        <f>L15-L27</f>
        <v>13065.063924999442</v>
      </c>
      <c r="N29" s="51">
        <f>N15-N27</f>
        <v>1679940.8769250021</v>
      </c>
      <c r="O29" s="51">
        <f>O15-O27</f>
        <v>-258994.14184499881</v>
      </c>
      <c r="P29" s="51">
        <f>P15-P27</f>
        <v>948578.21084500011</v>
      </c>
      <c r="Q29" s="51">
        <f>Q15-Q27</f>
        <v>-1101718.5398499989</v>
      </c>
      <c r="R29" s="51">
        <f>R15-R27</f>
        <v>-2000000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45"/>
  <sheetViews>
    <sheetView workbookViewId="0">
      <selection activeCell="B28" sqref="B28"/>
    </sheetView>
  </sheetViews>
  <sheetFormatPr defaultRowHeight="15" x14ac:dyDescent="0.25"/>
  <cols>
    <col min="1" max="1" width="17.7109375" bestFit="1" customWidth="1"/>
    <col min="2" max="2" width="48.7109375" bestFit="1" customWidth="1"/>
    <col min="3" max="4" width="14.28515625" style="45" bestFit="1" customWidth="1"/>
    <col min="5" max="5" width="11.7109375" style="45" bestFit="1" customWidth="1"/>
    <col min="6" max="6" width="20.85546875" style="45" bestFit="1" customWidth="1"/>
    <col min="7" max="7" width="14.28515625" style="45" bestFit="1" customWidth="1"/>
    <col min="8" max="8" width="13.28515625" bestFit="1" customWidth="1"/>
    <col min="9" max="9" width="13.28515625" style="45" bestFit="1" customWidth="1"/>
    <col min="10" max="10" width="14.28515625" style="45" bestFit="1" customWidth="1"/>
    <col min="11" max="15" width="13.28515625" style="45" bestFit="1" customWidth="1"/>
    <col min="16" max="16" width="14.28515625" style="45" bestFit="1" customWidth="1"/>
  </cols>
  <sheetData>
    <row r="1" spans="1:16" x14ac:dyDescent="0.25">
      <c r="A1" s="1" t="s">
        <v>0</v>
      </c>
    </row>
    <row r="2" spans="1:16" x14ac:dyDescent="0.25">
      <c r="A2" s="2" t="s">
        <v>1</v>
      </c>
      <c r="B2" s="2" t="s">
        <v>2</v>
      </c>
    </row>
    <row r="3" spans="1:16" x14ac:dyDescent="0.25">
      <c r="A3" s="2" t="s">
        <v>3</v>
      </c>
      <c r="B3" s="2" t="s">
        <v>4</v>
      </c>
    </row>
    <row r="5" spans="1:16" x14ac:dyDescent="0.25">
      <c r="A5" s="2" t="s">
        <v>5</v>
      </c>
      <c r="B5" s="2" t="s">
        <v>6</v>
      </c>
    </row>
    <row r="7" spans="1:16" x14ac:dyDescent="0.25">
      <c r="C7" s="45" t="s">
        <v>7</v>
      </c>
      <c r="D7" s="45" t="s">
        <v>8</v>
      </c>
      <c r="E7" s="45" t="s">
        <v>9</v>
      </c>
      <c r="F7" s="45" t="s">
        <v>10</v>
      </c>
      <c r="G7" s="45" t="s">
        <v>11</v>
      </c>
      <c r="I7" s="45" t="s">
        <v>420</v>
      </c>
      <c r="J7" s="45" t="s">
        <v>421</v>
      </c>
      <c r="K7" s="45" t="s">
        <v>422</v>
      </c>
      <c r="L7" s="45" t="s">
        <v>423</v>
      </c>
      <c r="M7" s="45" t="s">
        <v>424</v>
      </c>
      <c r="N7" s="45" t="s">
        <v>425</v>
      </c>
      <c r="O7" s="45" t="s">
        <v>426</v>
      </c>
      <c r="P7" s="45" t="s">
        <v>427</v>
      </c>
    </row>
    <row r="8" spans="1:16" x14ac:dyDescent="0.25">
      <c r="A8" s="3" t="s">
        <v>12</v>
      </c>
      <c r="B8" s="3" t="s">
        <v>13</v>
      </c>
      <c r="C8" s="46"/>
      <c r="D8" s="46"/>
      <c r="E8" s="46"/>
      <c r="F8" s="46"/>
      <c r="G8" s="46"/>
      <c r="I8" s="46"/>
      <c r="J8" s="46"/>
      <c r="K8" s="46"/>
      <c r="L8" s="46"/>
      <c r="M8" s="46"/>
      <c r="N8" s="46"/>
      <c r="O8" s="46"/>
      <c r="P8" s="46"/>
    </row>
    <row r="9" spans="1:16" x14ac:dyDescent="0.25">
      <c r="A9" s="2" t="s">
        <v>12</v>
      </c>
      <c r="B9" s="2" t="s">
        <v>12</v>
      </c>
    </row>
    <row r="10" spans="1:16" x14ac:dyDescent="0.25">
      <c r="A10" s="2" t="s">
        <v>14</v>
      </c>
      <c r="B10" s="2" t="s">
        <v>15</v>
      </c>
      <c r="C10" s="45">
        <v>46576460.770000003</v>
      </c>
      <c r="D10" s="45">
        <v>90947976.510000005</v>
      </c>
      <c r="E10" s="45">
        <v>48.79</v>
      </c>
      <c r="F10" s="45">
        <v>51.21</v>
      </c>
      <c r="G10" s="45">
        <v>44371515.740000002</v>
      </c>
      <c r="I10" s="45">
        <v>1113425</v>
      </c>
      <c r="J10" s="45">
        <v>13897827.65</v>
      </c>
      <c r="L10" s="45">
        <v>5118841.3499999996</v>
      </c>
      <c r="M10" s="45">
        <v>5421565</v>
      </c>
      <c r="N10" s="45">
        <v>5421565</v>
      </c>
      <c r="O10" s="45">
        <v>4816117.6100000003</v>
      </c>
      <c r="P10" s="45">
        <v>10787119.16</v>
      </c>
    </row>
    <row r="11" spans="1:16" x14ac:dyDescent="0.25">
      <c r="A11" s="2" t="s">
        <v>16</v>
      </c>
      <c r="B11" s="2" t="s">
        <v>17</v>
      </c>
      <c r="C11" s="45">
        <v>3310489.05</v>
      </c>
      <c r="D11" s="45">
        <v>5639295.6699999999</v>
      </c>
      <c r="E11" s="45">
        <v>41.3</v>
      </c>
      <c r="F11" s="45">
        <v>58.7</v>
      </c>
      <c r="G11" s="45">
        <v>2328806.62</v>
      </c>
      <c r="I11" s="45">
        <v>13148</v>
      </c>
      <c r="J11" s="45">
        <v>307843.27</v>
      </c>
      <c r="K11" s="45">
        <v>2767173.9</v>
      </c>
      <c r="L11" s="45">
        <v>59779.95</v>
      </c>
      <c r="M11" s="45">
        <v>12939.53</v>
      </c>
      <c r="N11" s="45">
        <v>131129.20000000001</v>
      </c>
      <c r="O11" s="45">
        <v>18475.2</v>
      </c>
    </row>
    <row r="12" spans="1:16" x14ac:dyDescent="0.25">
      <c r="A12" s="2" t="s">
        <v>18</v>
      </c>
      <c r="B12" s="2" t="s">
        <v>19</v>
      </c>
      <c r="C12" s="45">
        <v>362884.2</v>
      </c>
      <c r="G12" s="45">
        <v>-362884.2</v>
      </c>
      <c r="I12" s="45">
        <v>4644.5</v>
      </c>
      <c r="J12" s="45">
        <v>234696</v>
      </c>
      <c r="M12" s="45">
        <v>22758.05</v>
      </c>
      <c r="N12" s="45">
        <v>25544.75</v>
      </c>
      <c r="O12" s="45">
        <v>75240.899999999994</v>
      </c>
    </row>
    <row r="13" spans="1:16" x14ac:dyDescent="0.25">
      <c r="A13" s="3" t="s">
        <v>20</v>
      </c>
      <c r="B13" s="3" t="s">
        <v>21</v>
      </c>
      <c r="C13" s="46">
        <v>50249834.020000003</v>
      </c>
      <c r="D13" s="46">
        <v>96587272.180000007</v>
      </c>
      <c r="E13" s="46">
        <v>47.97</v>
      </c>
      <c r="F13" s="46">
        <v>52.03</v>
      </c>
      <c r="G13" s="46">
        <v>46337438.159999996</v>
      </c>
      <c r="I13" s="46">
        <v>1131217.5</v>
      </c>
      <c r="J13" s="46">
        <v>14440366.92</v>
      </c>
      <c r="K13" s="46">
        <v>2767173.9</v>
      </c>
      <c r="L13" s="46">
        <v>5178621.3</v>
      </c>
      <c r="M13" s="46">
        <v>5457262.5800000001</v>
      </c>
      <c r="N13" s="46">
        <v>5578238.9500000002</v>
      </c>
      <c r="O13" s="46">
        <v>4909833.71</v>
      </c>
      <c r="P13" s="46">
        <v>10787119.16</v>
      </c>
    </row>
    <row r="14" spans="1:16" x14ac:dyDescent="0.25">
      <c r="A14" s="2" t="s">
        <v>12</v>
      </c>
      <c r="B14" s="2" t="s">
        <v>12</v>
      </c>
    </row>
    <row r="15" spans="1:16" x14ac:dyDescent="0.25">
      <c r="A15" s="3" t="s">
        <v>12</v>
      </c>
      <c r="B15" s="3" t="s">
        <v>22</v>
      </c>
      <c r="C15" s="46"/>
      <c r="D15" s="46"/>
      <c r="E15" s="46"/>
      <c r="F15" s="46"/>
      <c r="G15" s="46"/>
      <c r="I15" s="46"/>
      <c r="J15" s="46"/>
      <c r="K15" s="46"/>
      <c r="L15" s="46"/>
      <c r="M15" s="46"/>
      <c r="N15" s="46"/>
      <c r="O15" s="46"/>
      <c r="P15" s="46"/>
    </row>
    <row r="16" spans="1:16" x14ac:dyDescent="0.25">
      <c r="A16" s="2" t="s">
        <v>23</v>
      </c>
      <c r="B16" s="2" t="s">
        <v>24</v>
      </c>
    </row>
    <row r="17" spans="1:16" x14ac:dyDescent="0.25">
      <c r="A17" s="2" t="s">
        <v>25</v>
      </c>
      <c r="B17" s="2" t="s">
        <v>26</v>
      </c>
      <c r="C17" s="45">
        <v>-459230.14</v>
      </c>
      <c r="D17" s="45">
        <v>-1051606</v>
      </c>
      <c r="E17" s="45">
        <v>56.33</v>
      </c>
      <c r="F17" s="45">
        <v>43.67</v>
      </c>
      <c r="G17" s="45">
        <v>-592375.86</v>
      </c>
      <c r="I17" s="45">
        <v>-11383.84</v>
      </c>
      <c r="J17" s="45">
        <v>-13544.87</v>
      </c>
      <c r="K17" s="45">
        <v>-5496.4</v>
      </c>
      <c r="L17" s="45">
        <v>-168399.45</v>
      </c>
      <c r="M17" s="45">
        <v>-90553.25</v>
      </c>
      <c r="N17" s="45">
        <v>-88927.33</v>
      </c>
      <c r="O17" s="45">
        <v>-80925</v>
      </c>
    </row>
    <row r="18" spans="1:16" x14ac:dyDescent="0.25">
      <c r="A18" s="2" t="s">
        <v>27</v>
      </c>
      <c r="B18" s="2" t="s">
        <v>28</v>
      </c>
    </row>
    <row r="19" spans="1:16" x14ac:dyDescent="0.25">
      <c r="A19" s="2" t="s">
        <v>12</v>
      </c>
      <c r="B19" s="2" t="s">
        <v>12</v>
      </c>
    </row>
    <row r="20" spans="1:16" x14ac:dyDescent="0.25">
      <c r="A20" s="2" t="s">
        <v>29</v>
      </c>
      <c r="B20" s="2" t="s">
        <v>30</v>
      </c>
      <c r="C20" s="45">
        <v>-33063795.859999999</v>
      </c>
      <c r="D20" s="45">
        <v>-66770111.689999998</v>
      </c>
      <c r="E20" s="45">
        <v>50.48</v>
      </c>
      <c r="F20" s="45">
        <v>49.52</v>
      </c>
      <c r="G20" s="45">
        <v>-33706315.829999998</v>
      </c>
      <c r="I20" s="45">
        <v>-2651056.3199999998</v>
      </c>
      <c r="J20" s="45">
        <v>-11387058.869999999</v>
      </c>
      <c r="K20" s="45">
        <v>-909562.75</v>
      </c>
      <c r="L20" s="45">
        <v>-3785763.66</v>
      </c>
      <c r="M20" s="45">
        <v>-3568305.73</v>
      </c>
      <c r="N20" s="45">
        <v>-5627465.7999999998</v>
      </c>
      <c r="O20" s="45">
        <v>-5134582.7300000004</v>
      </c>
    </row>
    <row r="21" spans="1:16" x14ac:dyDescent="0.25">
      <c r="A21" s="3" t="s">
        <v>31</v>
      </c>
      <c r="B21" s="3" t="s">
        <v>32</v>
      </c>
      <c r="C21" s="46">
        <v>-33523026</v>
      </c>
      <c r="D21" s="46">
        <v>-67821717.689999998</v>
      </c>
      <c r="E21" s="46">
        <v>50.57</v>
      </c>
      <c r="F21" s="46">
        <v>49.43</v>
      </c>
      <c r="G21" s="46">
        <v>-34298691.689999998</v>
      </c>
      <c r="I21" s="46">
        <v>-2662440.16</v>
      </c>
      <c r="J21" s="46">
        <v>-11400603.74</v>
      </c>
      <c r="K21" s="46">
        <v>-915059.15</v>
      </c>
      <c r="L21" s="46">
        <v>-3954163.11</v>
      </c>
      <c r="M21" s="46">
        <v>-3658858.98</v>
      </c>
      <c r="N21" s="46">
        <v>-5716393.1299999999</v>
      </c>
      <c r="O21" s="46">
        <v>-5215507.7300000004</v>
      </c>
      <c r="P21" s="46"/>
    </row>
    <row r="22" spans="1:16" x14ac:dyDescent="0.25">
      <c r="A22" s="2" t="s">
        <v>12</v>
      </c>
      <c r="B22" s="2" t="s">
        <v>12</v>
      </c>
    </row>
    <row r="23" spans="1:16" x14ac:dyDescent="0.25">
      <c r="A23" s="2" t="s">
        <v>33</v>
      </c>
      <c r="B23" s="2" t="s">
        <v>34</v>
      </c>
      <c r="C23" s="45">
        <v>1186063.17</v>
      </c>
      <c r="D23" s="45">
        <v>813348.36</v>
      </c>
      <c r="E23" s="45">
        <v>-45.82</v>
      </c>
      <c r="F23" s="45">
        <v>145.82</v>
      </c>
      <c r="G23" s="45">
        <v>-372714.81</v>
      </c>
      <c r="I23" s="45">
        <v>1080493.52</v>
      </c>
      <c r="J23" s="45">
        <v>45141.36</v>
      </c>
      <c r="L23" s="45">
        <v>3850</v>
      </c>
      <c r="M23" s="45">
        <v>10983.84</v>
      </c>
      <c r="N23" s="45">
        <v>31970.62</v>
      </c>
      <c r="O23" s="45">
        <v>13623.83</v>
      </c>
    </row>
    <row r="24" spans="1:16" x14ac:dyDescent="0.25">
      <c r="A24" s="2" t="s">
        <v>35</v>
      </c>
      <c r="B24" s="2" t="s">
        <v>36</v>
      </c>
      <c r="C24" s="45">
        <v>-9145002.5</v>
      </c>
      <c r="D24" s="45">
        <v>-30277905.449999999</v>
      </c>
      <c r="E24" s="45">
        <v>69.8</v>
      </c>
      <c r="F24" s="45">
        <v>30.2</v>
      </c>
      <c r="G24" s="45">
        <v>-21132902.949999999</v>
      </c>
      <c r="I24" s="45">
        <v>454043.64</v>
      </c>
      <c r="J24" s="45">
        <v>-3975625.61</v>
      </c>
      <c r="K24" s="45">
        <v>-679426.49</v>
      </c>
      <c r="L24" s="45">
        <v>-1279994.8799999999</v>
      </c>
      <c r="M24" s="45">
        <v>-1000312</v>
      </c>
      <c r="N24" s="45">
        <v>-1208243.96</v>
      </c>
      <c r="O24" s="45">
        <v>-1455443.2</v>
      </c>
    </row>
    <row r="25" spans="1:16" x14ac:dyDescent="0.25">
      <c r="A25" s="2" t="s">
        <v>37</v>
      </c>
      <c r="B25" s="2" t="s">
        <v>38</v>
      </c>
      <c r="C25" s="45">
        <v>-1246.72</v>
      </c>
      <c r="D25" s="45">
        <v>42000</v>
      </c>
      <c r="E25" s="45">
        <v>102.97</v>
      </c>
      <c r="F25" s="45">
        <v>-2.97</v>
      </c>
      <c r="G25" s="45">
        <v>43246.720000000001</v>
      </c>
      <c r="I25" s="45">
        <v>418.28</v>
      </c>
      <c r="J25" s="45">
        <v>-1665</v>
      </c>
    </row>
    <row r="26" spans="1:16" x14ac:dyDescent="0.25">
      <c r="A26" s="2" t="s">
        <v>39</v>
      </c>
      <c r="B26" s="2" t="s">
        <v>40</v>
      </c>
      <c r="C26" s="45">
        <v>-131604.32999999999</v>
      </c>
      <c r="D26" s="45">
        <v>-463483.58</v>
      </c>
      <c r="E26" s="45">
        <v>71.61</v>
      </c>
      <c r="F26" s="45">
        <v>28.39</v>
      </c>
      <c r="G26" s="45">
        <v>-331879.25</v>
      </c>
      <c r="I26" s="45">
        <v>-3732.78</v>
      </c>
      <c r="J26" s="45">
        <v>-2563.59</v>
      </c>
      <c r="K26" s="45">
        <v>-973.49</v>
      </c>
      <c r="L26" s="45">
        <v>-1934.01</v>
      </c>
      <c r="M26" s="45">
        <v>-313.33</v>
      </c>
      <c r="N26" s="45">
        <v>-7971.71</v>
      </c>
      <c r="O26" s="45">
        <v>-114115.42</v>
      </c>
    </row>
    <row r="27" spans="1:16" x14ac:dyDescent="0.25">
      <c r="A27" s="2" t="s">
        <v>41</v>
      </c>
      <c r="B27" s="2" t="s">
        <v>42</v>
      </c>
    </row>
    <row r="28" spans="1:16" x14ac:dyDescent="0.25">
      <c r="A28" s="2" t="s">
        <v>43</v>
      </c>
      <c r="B28" s="2" t="s">
        <v>44</v>
      </c>
    </row>
    <row r="29" spans="1:16" x14ac:dyDescent="0.25">
      <c r="A29" s="2" t="s">
        <v>12</v>
      </c>
      <c r="B29" s="2" t="s">
        <v>12</v>
      </c>
    </row>
    <row r="30" spans="1:16" ht="15.75" thickBot="1" x14ac:dyDescent="0.3">
      <c r="A30" s="4" t="s">
        <v>45</v>
      </c>
      <c r="B30" s="4" t="s">
        <v>46</v>
      </c>
      <c r="C30" s="47">
        <v>8635017.6400000006</v>
      </c>
      <c r="D30" s="47">
        <v>-1120486.18</v>
      </c>
      <c r="E30" s="47">
        <v>870.65</v>
      </c>
      <c r="F30" s="47">
        <v>-770.65</v>
      </c>
      <c r="G30" s="47">
        <v>-9755503.8200000003</v>
      </c>
      <c r="H30" s="78"/>
      <c r="I30" s="47"/>
      <c r="J30" s="47">
        <v>-894949.66</v>
      </c>
      <c r="K30" s="47">
        <v>1171714.77</v>
      </c>
      <c r="L30" s="47">
        <v>-53620.7</v>
      </c>
      <c r="M30" s="47">
        <v>808762.11</v>
      </c>
      <c r="N30" s="47">
        <v>-1322399.23</v>
      </c>
      <c r="O30" s="47">
        <v>-1861608.81</v>
      </c>
      <c r="P30" s="47">
        <v>10787119.16</v>
      </c>
    </row>
    <row r="31" spans="1:16" ht="15.75" thickTop="1" x14ac:dyDescent="0.25">
      <c r="A31" s="2" t="s">
        <v>12</v>
      </c>
      <c r="B31" s="2" t="s">
        <v>12</v>
      </c>
    </row>
    <row r="32" spans="1:16" x14ac:dyDescent="0.25">
      <c r="A32" s="2" t="s">
        <v>47</v>
      </c>
      <c r="B32" s="2" t="s">
        <v>48</v>
      </c>
      <c r="C32" s="45">
        <v>-1533418.31</v>
      </c>
      <c r="D32" s="45">
        <v>-3644077.35</v>
      </c>
      <c r="E32" s="45">
        <v>57.92</v>
      </c>
      <c r="F32" s="45">
        <v>42.08</v>
      </c>
      <c r="G32" s="45">
        <v>-2110659.04</v>
      </c>
      <c r="J32" s="45">
        <v>-622020.93999999994</v>
      </c>
      <c r="K32" s="45">
        <v>-10768.2</v>
      </c>
      <c r="L32" s="45">
        <v>-206904.92</v>
      </c>
      <c r="M32" s="45">
        <v>-71340.66</v>
      </c>
      <c r="N32" s="45">
        <v>-246196.6</v>
      </c>
      <c r="O32" s="45">
        <v>-376186.99</v>
      </c>
    </row>
    <row r="33" spans="1:16" x14ac:dyDescent="0.25">
      <c r="A33" s="2" t="s">
        <v>12</v>
      </c>
      <c r="B33" s="2" t="s">
        <v>12</v>
      </c>
    </row>
    <row r="34" spans="1:16" ht="15.75" thickBot="1" x14ac:dyDescent="0.3">
      <c r="A34" s="4" t="s">
        <v>12</v>
      </c>
      <c r="B34" s="4" t="s">
        <v>49</v>
      </c>
      <c r="C34" s="47">
        <v>7101599.3300000001</v>
      </c>
      <c r="D34" s="47">
        <v>-4764563.53</v>
      </c>
      <c r="E34" s="47">
        <v>249.05</v>
      </c>
      <c r="F34" s="47">
        <v>-149.05000000000001</v>
      </c>
      <c r="G34" s="47">
        <v>-11866162.859999999</v>
      </c>
      <c r="I34" s="47"/>
      <c r="J34" s="47">
        <v>-1516970.6</v>
      </c>
      <c r="K34" s="47">
        <v>1160946.57</v>
      </c>
      <c r="L34" s="47">
        <v>-260525.62</v>
      </c>
      <c r="M34" s="47">
        <v>737421.45</v>
      </c>
      <c r="N34" s="47">
        <v>-1568595.83</v>
      </c>
      <c r="O34" s="47">
        <v>-2237795.7999999998</v>
      </c>
      <c r="P34" s="47">
        <v>10787119.16</v>
      </c>
    </row>
    <row r="35" spans="1:16" ht="15.75" thickTop="1" x14ac:dyDescent="0.25">
      <c r="A35" s="2" t="s">
        <v>12</v>
      </c>
      <c r="B35" s="2" t="s">
        <v>12</v>
      </c>
    </row>
    <row r="36" spans="1:16" x14ac:dyDescent="0.25">
      <c r="A36" s="3" t="s">
        <v>12</v>
      </c>
      <c r="B36" s="3" t="s">
        <v>50</v>
      </c>
      <c r="C36" s="46"/>
      <c r="D36" s="46"/>
      <c r="E36" s="46"/>
      <c r="F36" s="46"/>
      <c r="G36" s="46">
        <f>G34-G244</f>
        <v>0</v>
      </c>
      <c r="I36" s="46">
        <f t="shared" ref="I36:P36" si="0">I34-I244</f>
        <v>0</v>
      </c>
      <c r="J36" s="46">
        <f t="shared" si="0"/>
        <v>0</v>
      </c>
      <c r="K36" s="46">
        <f t="shared" si="0"/>
        <v>0</v>
      </c>
      <c r="L36" s="46">
        <f t="shared" si="0"/>
        <v>0</v>
      </c>
      <c r="M36" s="46">
        <f t="shared" si="0"/>
        <v>0</v>
      </c>
      <c r="N36" s="46">
        <f t="shared" si="0"/>
        <v>0</v>
      </c>
      <c r="O36" s="46">
        <f t="shared" si="0"/>
        <v>0</v>
      </c>
      <c r="P36" s="46">
        <f t="shared" si="0"/>
        <v>0</v>
      </c>
    </row>
    <row r="37" spans="1:16" x14ac:dyDescent="0.25">
      <c r="A37" s="2" t="s">
        <v>12</v>
      </c>
      <c r="B37" s="2" t="s">
        <v>12</v>
      </c>
    </row>
    <row r="38" spans="1:16" x14ac:dyDescent="0.25">
      <c r="A38" s="3" t="s">
        <v>51</v>
      </c>
      <c r="B38" s="3" t="s">
        <v>52</v>
      </c>
      <c r="C38" s="46"/>
      <c r="D38" s="46"/>
      <c r="E38" s="46"/>
      <c r="F38" s="46"/>
      <c r="G38" s="46"/>
      <c r="I38" s="46"/>
      <c r="J38" s="46"/>
      <c r="K38" s="46"/>
      <c r="L38" s="46"/>
      <c r="M38" s="46"/>
      <c r="N38" s="46"/>
      <c r="O38" s="46"/>
      <c r="P38" s="46"/>
    </row>
    <row r="39" spans="1:16" x14ac:dyDescent="0.25">
      <c r="A39" s="2" t="s">
        <v>53</v>
      </c>
      <c r="B39" s="2" t="s">
        <v>54</v>
      </c>
      <c r="C39" s="45">
        <v>28865159.129999999</v>
      </c>
      <c r="D39" s="45">
        <v>64739024.600000001</v>
      </c>
      <c r="E39" s="45">
        <v>55.41</v>
      </c>
      <c r="F39" s="45">
        <v>44.59</v>
      </c>
      <c r="G39" s="45">
        <v>35873865.469999999</v>
      </c>
      <c r="J39" s="45">
        <v>12412018.460000001</v>
      </c>
      <c r="L39" s="45">
        <v>4041122.3</v>
      </c>
      <c r="M39" s="45">
        <v>4329773.8600000003</v>
      </c>
      <c r="N39" s="45">
        <v>4329773.8600000003</v>
      </c>
      <c r="O39" s="45">
        <v>3752470.65</v>
      </c>
    </row>
    <row r="40" spans="1:16" x14ac:dyDescent="0.25">
      <c r="A40" s="2" t="s">
        <v>55</v>
      </c>
      <c r="B40" s="2" t="s">
        <v>56</v>
      </c>
      <c r="C40" s="45">
        <v>60595.199999999997</v>
      </c>
      <c r="D40" s="45">
        <v>3691120</v>
      </c>
      <c r="E40" s="45">
        <v>98.36</v>
      </c>
      <c r="F40" s="45">
        <v>1.64</v>
      </c>
      <c r="G40" s="45">
        <v>3630524.8</v>
      </c>
      <c r="J40" s="45">
        <v>26055.91</v>
      </c>
      <c r="L40" s="45">
        <v>8483.33</v>
      </c>
      <c r="M40" s="45">
        <v>9089.2900000000009</v>
      </c>
      <c r="N40" s="45">
        <v>9089.2900000000009</v>
      </c>
      <c r="O40" s="45">
        <v>7877.38</v>
      </c>
    </row>
    <row r="41" spans="1:16" x14ac:dyDescent="0.25">
      <c r="A41" s="2" t="s">
        <v>57</v>
      </c>
      <c r="B41" s="2" t="s">
        <v>58</v>
      </c>
      <c r="C41" s="45">
        <v>107318.33</v>
      </c>
      <c r="G41" s="45">
        <v>-107318.33</v>
      </c>
      <c r="J41" s="45">
        <v>46146.879999999997</v>
      </c>
      <c r="L41" s="45">
        <v>15024.57</v>
      </c>
      <c r="M41" s="45">
        <v>16097.75</v>
      </c>
      <c r="N41" s="45">
        <v>16097.75</v>
      </c>
      <c r="O41" s="45">
        <v>13951.38</v>
      </c>
    </row>
    <row r="42" spans="1:16" x14ac:dyDescent="0.25">
      <c r="A42" s="2" t="s">
        <v>59</v>
      </c>
      <c r="B42" s="2" t="s">
        <v>60</v>
      </c>
      <c r="C42" s="45">
        <v>9595.9500000000007</v>
      </c>
      <c r="D42" s="45">
        <v>87235.91</v>
      </c>
      <c r="E42" s="45">
        <v>89</v>
      </c>
      <c r="F42" s="45">
        <v>11</v>
      </c>
      <c r="G42" s="45">
        <v>77639.960000000006</v>
      </c>
      <c r="J42" s="45">
        <v>4126.26</v>
      </c>
      <c r="L42" s="45">
        <v>1343.43</v>
      </c>
      <c r="M42" s="45">
        <v>1439.4</v>
      </c>
      <c r="N42" s="45">
        <v>1439.4</v>
      </c>
      <c r="O42" s="45">
        <v>1247.46</v>
      </c>
    </row>
    <row r="43" spans="1:16" x14ac:dyDescent="0.25">
      <c r="A43" s="2" t="s">
        <v>61</v>
      </c>
      <c r="B43" s="2" t="s">
        <v>62</v>
      </c>
      <c r="C43" s="45">
        <v>5516975</v>
      </c>
      <c r="D43" s="45">
        <v>11033950</v>
      </c>
      <c r="E43" s="45">
        <v>50</v>
      </c>
      <c r="F43" s="45">
        <v>50</v>
      </c>
      <c r="G43" s="45">
        <v>5516975</v>
      </c>
      <c r="I43" s="45">
        <v>1113425</v>
      </c>
      <c r="J43" s="45">
        <v>880710</v>
      </c>
      <c r="L43" s="45">
        <v>880710</v>
      </c>
      <c r="M43" s="45">
        <v>880710</v>
      </c>
      <c r="N43" s="45">
        <v>880710</v>
      </c>
      <c r="O43" s="45">
        <v>880710</v>
      </c>
    </row>
    <row r="44" spans="1:16" x14ac:dyDescent="0.25">
      <c r="A44" s="2" t="s">
        <v>63</v>
      </c>
      <c r="B44" s="2" t="s">
        <v>64</v>
      </c>
      <c r="C44" s="45">
        <v>12016817.16</v>
      </c>
      <c r="D44" s="45">
        <v>11396646</v>
      </c>
      <c r="E44" s="45">
        <v>-5.44</v>
      </c>
      <c r="F44" s="45">
        <v>105.44</v>
      </c>
      <c r="G44" s="45">
        <v>-620171.16</v>
      </c>
      <c r="J44" s="45">
        <v>528770.14</v>
      </c>
      <c r="L44" s="45">
        <v>172157.72</v>
      </c>
      <c r="M44" s="45">
        <v>184454.7</v>
      </c>
      <c r="N44" s="45">
        <v>184454.7</v>
      </c>
      <c r="O44" s="45">
        <v>159860.74</v>
      </c>
      <c r="P44" s="45">
        <v>10787119.16</v>
      </c>
    </row>
    <row r="45" spans="1:16" x14ac:dyDescent="0.25">
      <c r="A45" s="3" t="s">
        <v>65</v>
      </c>
      <c r="B45" s="3" t="s">
        <v>66</v>
      </c>
      <c r="C45" s="46">
        <v>46576460.770000003</v>
      </c>
      <c r="D45" s="46">
        <v>90947976.510000005</v>
      </c>
      <c r="E45" s="46">
        <v>48.79</v>
      </c>
      <c r="F45" s="46">
        <v>51.21</v>
      </c>
      <c r="G45" s="46">
        <v>44371515.740000002</v>
      </c>
      <c r="I45" s="46">
        <v>1113425</v>
      </c>
      <c r="J45" s="46">
        <v>13897827.65</v>
      </c>
      <c r="K45" s="46"/>
      <c r="L45" s="46">
        <v>5118841.3499999996</v>
      </c>
      <c r="M45" s="46">
        <v>5421565</v>
      </c>
      <c r="N45" s="46">
        <v>5421565</v>
      </c>
      <c r="O45" s="46">
        <v>4816117.6100000003</v>
      </c>
      <c r="P45" s="46">
        <v>10787119.16</v>
      </c>
    </row>
    <row r="46" spans="1:16" x14ac:dyDescent="0.25">
      <c r="A46" s="2" t="s">
        <v>12</v>
      </c>
      <c r="B46" s="2" t="s">
        <v>12</v>
      </c>
    </row>
    <row r="47" spans="1:16" x14ac:dyDescent="0.25">
      <c r="A47" s="3" t="s">
        <v>67</v>
      </c>
      <c r="B47" s="3" t="s">
        <v>68</v>
      </c>
      <c r="C47" s="46"/>
      <c r="D47" s="46"/>
      <c r="E47" s="46"/>
      <c r="F47" s="46"/>
      <c r="G47" s="46"/>
      <c r="I47" s="46"/>
      <c r="J47" s="46"/>
      <c r="K47" s="46"/>
      <c r="L47" s="46"/>
      <c r="M47" s="46"/>
      <c r="N47" s="46"/>
      <c r="O47" s="46"/>
      <c r="P47" s="46"/>
    </row>
    <row r="48" spans="1:16" x14ac:dyDescent="0.25">
      <c r="A48" s="2" t="s">
        <v>69</v>
      </c>
      <c r="B48" s="2" t="s">
        <v>70</v>
      </c>
    </row>
    <row r="49" spans="1:16" x14ac:dyDescent="0.25">
      <c r="A49" s="2" t="s">
        <v>71</v>
      </c>
      <c r="B49" s="2" t="s">
        <v>72</v>
      </c>
      <c r="C49" s="45">
        <v>115226.65</v>
      </c>
      <c r="G49" s="45">
        <v>-115226.65</v>
      </c>
      <c r="J49" s="45">
        <v>69653.119999999995</v>
      </c>
      <c r="L49" s="45">
        <v>15153.4</v>
      </c>
      <c r="M49" s="45">
        <v>12939.53</v>
      </c>
      <c r="N49" s="45">
        <v>13045.4</v>
      </c>
      <c r="O49" s="45">
        <v>4435.2</v>
      </c>
    </row>
    <row r="50" spans="1:16" x14ac:dyDescent="0.25">
      <c r="A50" s="2" t="s">
        <v>73</v>
      </c>
      <c r="B50" s="2" t="s">
        <v>74</v>
      </c>
      <c r="D50" s="45">
        <v>301747</v>
      </c>
      <c r="E50" s="45">
        <v>100</v>
      </c>
      <c r="G50" s="45">
        <v>301747</v>
      </c>
    </row>
    <row r="51" spans="1:16" x14ac:dyDescent="0.25">
      <c r="A51" s="2" t="s">
        <v>75</v>
      </c>
      <c r="B51" s="2" t="s">
        <v>76</v>
      </c>
      <c r="C51" s="45">
        <v>151069.5</v>
      </c>
      <c r="G51" s="45">
        <v>-151069.5</v>
      </c>
      <c r="J51" s="45">
        <v>27187.5</v>
      </c>
      <c r="L51" s="45">
        <v>18000</v>
      </c>
      <c r="N51" s="45">
        <v>105882</v>
      </c>
    </row>
    <row r="52" spans="1:16" x14ac:dyDescent="0.25">
      <c r="A52" s="2" t="s">
        <v>77</v>
      </c>
      <c r="B52" s="2" t="s">
        <v>78</v>
      </c>
      <c r="C52" s="45">
        <v>4800</v>
      </c>
      <c r="D52" s="45">
        <v>26000</v>
      </c>
      <c r="E52" s="45">
        <v>81.540000000000006</v>
      </c>
      <c r="F52" s="45">
        <v>18.46</v>
      </c>
      <c r="G52" s="45">
        <v>21200</v>
      </c>
      <c r="N52" s="45">
        <v>4800</v>
      </c>
    </row>
    <row r="53" spans="1:16" x14ac:dyDescent="0.25">
      <c r="A53" s="2" t="s">
        <v>79</v>
      </c>
      <c r="B53" s="2" t="s">
        <v>80</v>
      </c>
      <c r="C53" s="45">
        <v>13500</v>
      </c>
      <c r="G53" s="45">
        <v>-13500</v>
      </c>
      <c r="O53" s="45">
        <v>13500</v>
      </c>
    </row>
    <row r="54" spans="1:16" x14ac:dyDescent="0.25">
      <c r="A54" s="2" t="s">
        <v>81</v>
      </c>
      <c r="B54" s="2" t="s">
        <v>82</v>
      </c>
      <c r="C54" s="45">
        <v>2966638.5</v>
      </c>
      <c r="D54" s="45">
        <v>3277907.67</v>
      </c>
      <c r="E54" s="45">
        <v>9.5</v>
      </c>
      <c r="F54" s="45">
        <v>90.5</v>
      </c>
      <c r="G54" s="45">
        <v>311269.17</v>
      </c>
      <c r="I54" s="45">
        <v>3198</v>
      </c>
      <c r="J54" s="45">
        <v>188173</v>
      </c>
      <c r="K54" s="45">
        <v>2767173.9</v>
      </c>
      <c r="L54" s="45">
        <v>5196.8</v>
      </c>
      <c r="N54" s="45">
        <v>2896.8</v>
      </c>
    </row>
    <row r="55" spans="1:16" x14ac:dyDescent="0.25">
      <c r="A55" s="2" t="s">
        <v>83</v>
      </c>
      <c r="B55" s="2" t="s">
        <v>84</v>
      </c>
      <c r="C55" s="45">
        <v>43400.3</v>
      </c>
      <c r="D55" s="45">
        <v>1520321</v>
      </c>
      <c r="E55" s="45">
        <v>97.15</v>
      </c>
      <c r="F55" s="45">
        <v>2.85</v>
      </c>
      <c r="G55" s="45">
        <v>1476920.7</v>
      </c>
      <c r="I55" s="45">
        <v>3600</v>
      </c>
      <c r="J55" s="45">
        <v>18375.55</v>
      </c>
      <c r="L55" s="45">
        <v>21429.75</v>
      </c>
      <c r="N55" s="45">
        <v>-545</v>
      </c>
      <c r="O55" s="45">
        <v>540</v>
      </c>
    </row>
    <row r="56" spans="1:16" x14ac:dyDescent="0.25">
      <c r="A56" s="2" t="s">
        <v>85</v>
      </c>
      <c r="B56" s="2" t="s">
        <v>86</v>
      </c>
      <c r="C56" s="45">
        <v>6600</v>
      </c>
      <c r="G56" s="45">
        <v>-6600</v>
      </c>
      <c r="I56" s="45">
        <v>6350</v>
      </c>
      <c r="N56" s="45">
        <v>250</v>
      </c>
    </row>
    <row r="57" spans="1:16" x14ac:dyDescent="0.25">
      <c r="A57" s="2" t="s">
        <v>87</v>
      </c>
      <c r="B57" s="2" t="s">
        <v>88</v>
      </c>
      <c r="C57" s="45">
        <v>9254.1</v>
      </c>
      <c r="D57" s="45">
        <v>513320</v>
      </c>
      <c r="E57" s="45">
        <v>98.2</v>
      </c>
      <c r="F57" s="45">
        <v>1.8</v>
      </c>
      <c r="G57" s="45">
        <v>504065.9</v>
      </c>
      <c r="J57" s="45">
        <v>4454.1000000000004</v>
      </c>
      <c r="N57" s="45">
        <v>4800</v>
      </c>
    </row>
    <row r="58" spans="1:16" x14ac:dyDescent="0.25">
      <c r="A58" s="3" t="s">
        <v>89</v>
      </c>
      <c r="B58" s="3" t="s">
        <v>17</v>
      </c>
      <c r="C58" s="46">
        <v>3310489.05</v>
      </c>
      <c r="D58" s="46">
        <v>5639295.6699999999</v>
      </c>
      <c r="E58" s="46">
        <v>41.3</v>
      </c>
      <c r="F58" s="46">
        <v>58.7</v>
      </c>
      <c r="G58" s="46">
        <v>2328806.62</v>
      </c>
      <c r="I58" s="46">
        <v>13148</v>
      </c>
      <c r="J58" s="46">
        <v>307843.27</v>
      </c>
      <c r="K58" s="46">
        <v>2767173.9</v>
      </c>
      <c r="L58" s="46">
        <v>59779.95</v>
      </c>
      <c r="M58" s="46">
        <v>12939.53</v>
      </c>
      <c r="N58" s="46">
        <v>131129.20000000001</v>
      </c>
      <c r="O58" s="46">
        <v>18475.2</v>
      </c>
      <c r="P58" s="46"/>
    </row>
    <row r="59" spans="1:16" x14ac:dyDescent="0.25">
      <c r="A59" s="2" t="s">
        <v>12</v>
      </c>
      <c r="B59" s="2" t="s">
        <v>12</v>
      </c>
    </row>
    <row r="60" spans="1:16" x14ac:dyDescent="0.25">
      <c r="A60" s="3" t="s">
        <v>90</v>
      </c>
      <c r="B60" s="3" t="s">
        <v>91</v>
      </c>
      <c r="C60" s="46"/>
      <c r="D60" s="46"/>
      <c r="E60" s="46"/>
      <c r="F60" s="46"/>
      <c r="G60" s="46"/>
      <c r="I60" s="46"/>
      <c r="J60" s="46"/>
      <c r="K60" s="46"/>
      <c r="L60" s="46"/>
      <c r="M60" s="46"/>
      <c r="N60" s="46"/>
      <c r="O60" s="46"/>
      <c r="P60" s="46"/>
    </row>
    <row r="61" spans="1:16" x14ac:dyDescent="0.25">
      <c r="A61" s="2" t="s">
        <v>92</v>
      </c>
      <c r="B61" s="2" t="s">
        <v>93</v>
      </c>
      <c r="C61" s="45">
        <v>362884.2</v>
      </c>
      <c r="G61" s="45">
        <v>-362884.2</v>
      </c>
      <c r="I61" s="45">
        <v>4644.5</v>
      </c>
      <c r="J61" s="45">
        <v>234696</v>
      </c>
      <c r="M61" s="45">
        <v>22758.05</v>
      </c>
      <c r="N61" s="45">
        <v>25544.75</v>
      </c>
      <c r="O61" s="45">
        <v>75240.899999999994</v>
      </c>
    </row>
    <row r="62" spans="1:16" x14ac:dyDescent="0.25">
      <c r="A62" s="3" t="s">
        <v>94</v>
      </c>
      <c r="B62" s="3" t="s">
        <v>95</v>
      </c>
      <c r="C62" s="46">
        <v>362884.2</v>
      </c>
      <c r="D62" s="46"/>
      <c r="E62" s="46"/>
      <c r="F62" s="46"/>
      <c r="G62" s="46">
        <v>-362884.2</v>
      </c>
      <c r="I62" s="46">
        <v>4644.5</v>
      </c>
      <c r="J62" s="46">
        <v>234696</v>
      </c>
      <c r="K62" s="46"/>
      <c r="L62" s="46"/>
      <c r="M62" s="46">
        <v>22758.05</v>
      </c>
      <c r="N62" s="46">
        <v>25544.75</v>
      </c>
      <c r="O62" s="46">
        <v>75240.899999999994</v>
      </c>
      <c r="P62" s="46"/>
    </row>
    <row r="63" spans="1:16" x14ac:dyDescent="0.25">
      <c r="A63" s="2" t="s">
        <v>12</v>
      </c>
      <c r="B63" s="2" t="s">
        <v>12</v>
      </c>
    </row>
    <row r="64" spans="1:16" x14ac:dyDescent="0.25">
      <c r="A64" s="3" t="s">
        <v>96</v>
      </c>
      <c r="B64" s="3" t="s">
        <v>97</v>
      </c>
      <c r="C64" s="46">
        <v>50249834.020000003</v>
      </c>
      <c r="D64" s="46">
        <v>96587272.180000007</v>
      </c>
      <c r="E64" s="46">
        <v>47.97</v>
      </c>
      <c r="F64" s="46">
        <v>52.03</v>
      </c>
      <c r="G64" s="46">
        <v>46337438.159999996</v>
      </c>
      <c r="I64" s="46">
        <v>1131217.5</v>
      </c>
      <c r="J64" s="46">
        <v>14440366.92</v>
      </c>
      <c r="K64" s="46">
        <v>2767173.9</v>
      </c>
      <c r="L64" s="46">
        <v>5178621.3</v>
      </c>
      <c r="M64" s="46">
        <v>5457262.5800000001</v>
      </c>
      <c r="N64" s="46">
        <v>5578238.9500000002</v>
      </c>
      <c r="O64" s="46">
        <v>4909833.71</v>
      </c>
      <c r="P64" s="46">
        <v>10787119.16</v>
      </c>
    </row>
    <row r="65" spans="1:16" x14ac:dyDescent="0.25">
      <c r="A65" s="2" t="s">
        <v>12</v>
      </c>
      <c r="B65" s="2" t="s">
        <v>12</v>
      </c>
    </row>
    <row r="66" spans="1:16" x14ac:dyDescent="0.25">
      <c r="A66" s="3" t="s">
        <v>98</v>
      </c>
      <c r="B66" s="3" t="s">
        <v>99</v>
      </c>
      <c r="C66" s="46"/>
      <c r="D66" s="46"/>
      <c r="E66" s="46"/>
      <c r="F66" s="46"/>
      <c r="G66" s="46"/>
      <c r="I66" s="46"/>
      <c r="J66" s="46"/>
      <c r="K66" s="46"/>
      <c r="L66" s="46"/>
      <c r="M66" s="46"/>
      <c r="N66" s="46"/>
      <c r="O66" s="46"/>
      <c r="P66" s="46"/>
    </row>
    <row r="67" spans="1:16" x14ac:dyDescent="0.25">
      <c r="A67" s="2" t="s">
        <v>100</v>
      </c>
      <c r="B67" s="2" t="s">
        <v>101</v>
      </c>
    </row>
    <row r="68" spans="1:16" x14ac:dyDescent="0.25">
      <c r="A68" s="2" t="s">
        <v>102</v>
      </c>
      <c r="B68" s="2" t="s">
        <v>103</v>
      </c>
    </row>
    <row r="69" spans="1:16" x14ac:dyDescent="0.25">
      <c r="A69" s="3" t="s">
        <v>104</v>
      </c>
      <c r="B69" s="3" t="s">
        <v>105</v>
      </c>
      <c r="C69" s="46"/>
      <c r="D69" s="46"/>
      <c r="E69" s="46"/>
      <c r="F69" s="46"/>
      <c r="G69" s="46"/>
      <c r="I69" s="46"/>
      <c r="J69" s="46"/>
      <c r="K69" s="46"/>
      <c r="L69" s="46"/>
      <c r="M69" s="46"/>
      <c r="N69" s="46"/>
      <c r="O69" s="46"/>
      <c r="P69" s="46"/>
    </row>
    <row r="70" spans="1:16" x14ac:dyDescent="0.25">
      <c r="A70" s="2" t="s">
        <v>12</v>
      </c>
      <c r="B70" s="2" t="s">
        <v>12</v>
      </c>
    </row>
    <row r="71" spans="1:16" x14ac:dyDescent="0.25">
      <c r="A71" s="3" t="s">
        <v>106</v>
      </c>
      <c r="B71" s="3" t="s">
        <v>107</v>
      </c>
      <c r="C71" s="46"/>
      <c r="D71" s="46"/>
      <c r="E71" s="46"/>
      <c r="F71" s="46"/>
      <c r="G71" s="46"/>
      <c r="I71" s="46"/>
      <c r="J71" s="46"/>
      <c r="K71" s="46"/>
      <c r="L71" s="46"/>
      <c r="M71" s="46"/>
      <c r="N71" s="46"/>
      <c r="O71" s="46"/>
      <c r="P71" s="46"/>
    </row>
    <row r="72" spans="1:16" x14ac:dyDescent="0.25">
      <c r="A72" s="2" t="s">
        <v>108</v>
      </c>
      <c r="B72" s="2" t="s">
        <v>109</v>
      </c>
      <c r="C72" s="45">
        <v>-67991</v>
      </c>
      <c r="D72" s="45">
        <v>-518200</v>
      </c>
      <c r="E72" s="45">
        <v>86.88</v>
      </c>
      <c r="F72" s="45">
        <v>13.12</v>
      </c>
      <c r="G72" s="45">
        <v>-450209</v>
      </c>
      <c r="M72" s="45">
        <v>-67991</v>
      </c>
    </row>
    <row r="73" spans="1:16" x14ac:dyDescent="0.25">
      <c r="A73" s="2" t="s">
        <v>110</v>
      </c>
      <c r="B73" s="2" t="s">
        <v>111</v>
      </c>
      <c r="C73" s="45">
        <v>-22937.919999999998</v>
      </c>
      <c r="G73" s="45">
        <v>22937.919999999998</v>
      </c>
      <c r="J73" s="45">
        <v>-10796.67</v>
      </c>
      <c r="M73" s="45">
        <v>-12141.25</v>
      </c>
    </row>
    <row r="74" spans="1:16" x14ac:dyDescent="0.25">
      <c r="A74" s="2" t="s">
        <v>112</v>
      </c>
      <c r="B74" s="2" t="s">
        <v>113</v>
      </c>
      <c r="C74" s="45">
        <v>-32724</v>
      </c>
      <c r="D74" s="45">
        <v>-37660</v>
      </c>
      <c r="E74" s="45">
        <v>13.11</v>
      </c>
      <c r="F74" s="45">
        <v>86.89</v>
      </c>
      <c r="G74" s="45">
        <v>-4936</v>
      </c>
      <c r="M74" s="45">
        <v>-9713</v>
      </c>
      <c r="N74" s="45">
        <v>-4181</v>
      </c>
      <c r="O74" s="45">
        <v>-18830</v>
      </c>
    </row>
    <row r="75" spans="1:16" x14ac:dyDescent="0.25">
      <c r="A75" s="2" t="s">
        <v>114</v>
      </c>
      <c r="B75" s="2" t="s">
        <v>115</v>
      </c>
      <c r="C75" s="45">
        <v>-335577.22</v>
      </c>
      <c r="D75" s="45">
        <v>-495746</v>
      </c>
      <c r="E75" s="45">
        <v>32.31</v>
      </c>
      <c r="F75" s="45">
        <v>67.69</v>
      </c>
      <c r="G75" s="45">
        <v>-160168.78</v>
      </c>
      <c r="I75" s="45">
        <v>-11383.84</v>
      </c>
      <c r="J75" s="45">
        <v>-2748.2</v>
      </c>
      <c r="K75" s="45">
        <v>-5496.4</v>
      </c>
      <c r="L75" s="45">
        <v>-168399.45</v>
      </c>
      <c r="M75" s="45">
        <v>-708</v>
      </c>
      <c r="N75" s="45">
        <v>-84746.33</v>
      </c>
      <c r="O75" s="45">
        <v>-62095</v>
      </c>
    </row>
    <row r="76" spans="1:16" x14ac:dyDescent="0.25">
      <c r="A76" s="3" t="s">
        <v>116</v>
      </c>
      <c r="B76" s="3" t="s">
        <v>117</v>
      </c>
      <c r="C76" s="46">
        <v>-459230.14</v>
      </c>
      <c r="D76" s="46">
        <v>-1051606</v>
      </c>
      <c r="E76" s="46">
        <v>56.33</v>
      </c>
      <c r="F76" s="46">
        <v>43.67</v>
      </c>
      <c r="G76" s="46">
        <v>-592375.86</v>
      </c>
      <c r="I76" s="46">
        <v>-11383.84</v>
      </c>
      <c r="J76" s="46">
        <v>-13544.87</v>
      </c>
      <c r="K76" s="46">
        <v>-5496.4</v>
      </c>
      <c r="L76" s="46">
        <v>-168399.45</v>
      </c>
      <c r="M76" s="46">
        <v>-90553.25</v>
      </c>
      <c r="N76" s="46">
        <v>-88927.33</v>
      </c>
      <c r="O76" s="46">
        <v>-80925</v>
      </c>
      <c r="P76" s="46"/>
    </row>
    <row r="77" spans="1:16" x14ac:dyDescent="0.25">
      <c r="A77" s="2" t="s">
        <v>12</v>
      </c>
      <c r="B77" s="2" t="s">
        <v>12</v>
      </c>
    </row>
    <row r="78" spans="1:16" x14ac:dyDescent="0.25">
      <c r="A78" s="3" t="s">
        <v>118</v>
      </c>
      <c r="B78" s="3" t="s">
        <v>119</v>
      </c>
      <c r="C78" s="46"/>
      <c r="D78" s="46"/>
      <c r="E78" s="46"/>
      <c r="F78" s="46"/>
      <c r="G78" s="46"/>
      <c r="I78" s="46"/>
      <c r="J78" s="46"/>
      <c r="K78" s="46"/>
      <c r="L78" s="46"/>
      <c r="M78" s="46"/>
      <c r="N78" s="46"/>
      <c r="O78" s="46"/>
      <c r="P78" s="46"/>
    </row>
    <row r="79" spans="1:16" x14ac:dyDescent="0.25">
      <c r="A79" s="2" t="s">
        <v>120</v>
      </c>
      <c r="B79" s="2" t="s">
        <v>121</v>
      </c>
    </row>
    <row r="80" spans="1:16" x14ac:dyDescent="0.25">
      <c r="A80" s="2" t="s">
        <v>122</v>
      </c>
      <c r="B80" s="2" t="s">
        <v>123</v>
      </c>
    </row>
    <row r="81" spans="1:16" x14ac:dyDescent="0.25">
      <c r="A81" s="3" t="s">
        <v>124</v>
      </c>
      <c r="B81" s="3" t="s">
        <v>125</v>
      </c>
      <c r="C81" s="46"/>
      <c r="D81" s="46"/>
      <c r="E81" s="46"/>
      <c r="F81" s="46"/>
      <c r="G81" s="46"/>
      <c r="I81" s="46"/>
      <c r="J81" s="46"/>
      <c r="K81" s="46"/>
      <c r="L81" s="46"/>
      <c r="M81" s="46"/>
      <c r="N81" s="46"/>
      <c r="O81" s="46"/>
      <c r="P81" s="46"/>
    </row>
    <row r="82" spans="1:16" x14ac:dyDescent="0.25">
      <c r="A82" s="2" t="s">
        <v>12</v>
      </c>
      <c r="B82" s="2" t="s">
        <v>12</v>
      </c>
    </row>
    <row r="83" spans="1:16" x14ac:dyDescent="0.25">
      <c r="A83" s="3" t="s">
        <v>126</v>
      </c>
      <c r="B83" s="3" t="s">
        <v>30</v>
      </c>
      <c r="C83" s="46"/>
      <c r="D83" s="46"/>
      <c r="E83" s="46"/>
      <c r="F83" s="46"/>
      <c r="G83" s="46"/>
      <c r="I83" s="46"/>
      <c r="J83" s="46"/>
      <c r="K83" s="46"/>
      <c r="L83" s="46"/>
      <c r="M83" s="46"/>
      <c r="N83" s="46"/>
      <c r="O83" s="46"/>
      <c r="P83" s="46"/>
    </row>
    <row r="84" spans="1:16" x14ac:dyDescent="0.25">
      <c r="A84" s="2" t="s">
        <v>127</v>
      </c>
      <c r="B84" s="2" t="s">
        <v>128</v>
      </c>
    </row>
    <row r="85" spans="1:16" x14ac:dyDescent="0.25">
      <c r="A85" s="2" t="s">
        <v>129</v>
      </c>
      <c r="B85" s="2" t="s">
        <v>130</v>
      </c>
      <c r="C85" s="45">
        <v>-447361.2</v>
      </c>
      <c r="D85" s="45">
        <v>-1042434.9</v>
      </c>
      <c r="E85" s="45">
        <v>57.08</v>
      </c>
      <c r="F85" s="45">
        <v>42.92</v>
      </c>
      <c r="G85" s="45">
        <v>-595073.69999999995</v>
      </c>
      <c r="I85" s="45">
        <v>-447361.2</v>
      </c>
    </row>
    <row r="86" spans="1:16" x14ac:dyDescent="0.25">
      <c r="A86" s="2" t="s">
        <v>131</v>
      </c>
      <c r="B86" s="2" t="s">
        <v>132</v>
      </c>
    </row>
    <row r="87" spans="1:16" x14ac:dyDescent="0.25">
      <c r="A87" s="2" t="s">
        <v>133</v>
      </c>
      <c r="B87" s="2" t="s">
        <v>134</v>
      </c>
      <c r="C87" s="45">
        <v>-25043.32</v>
      </c>
      <c r="G87" s="45">
        <v>25043.32</v>
      </c>
      <c r="J87" s="45">
        <v>-14970.03</v>
      </c>
      <c r="M87" s="45">
        <v>-1748.84</v>
      </c>
      <c r="N87" s="45">
        <v>-6575.62</v>
      </c>
      <c r="O87" s="45">
        <v>-1748.83</v>
      </c>
    </row>
    <row r="88" spans="1:16" x14ac:dyDescent="0.25">
      <c r="A88" s="2" t="s">
        <v>135</v>
      </c>
      <c r="B88" s="2" t="s">
        <v>136</v>
      </c>
      <c r="C88" s="45">
        <v>25043.32</v>
      </c>
      <c r="G88" s="45">
        <v>-25043.32</v>
      </c>
      <c r="J88" s="45">
        <v>14970.03</v>
      </c>
      <c r="M88" s="45">
        <v>1748.84</v>
      </c>
      <c r="N88" s="45">
        <v>6575.62</v>
      </c>
      <c r="O88" s="45">
        <v>1748.83</v>
      </c>
    </row>
    <row r="89" spans="1:16" x14ac:dyDescent="0.25">
      <c r="A89" s="2" t="s">
        <v>137</v>
      </c>
      <c r="B89" s="2" t="s">
        <v>138</v>
      </c>
      <c r="C89" s="45">
        <v>-32752461.84</v>
      </c>
      <c r="D89" s="45">
        <v>-58924213.310000002</v>
      </c>
      <c r="E89" s="45">
        <v>44.42</v>
      </c>
      <c r="F89" s="45">
        <v>55.58</v>
      </c>
      <c r="G89" s="45">
        <v>-26171751.469999999</v>
      </c>
      <c r="I89" s="45">
        <v>-3426171.89</v>
      </c>
      <c r="J89" s="45">
        <v>-11029895.99</v>
      </c>
      <c r="K89" s="45">
        <v>-772488.94</v>
      </c>
      <c r="L89" s="45">
        <v>-3655756.36</v>
      </c>
      <c r="M89" s="45">
        <v>-3406703.37</v>
      </c>
      <c r="N89" s="45">
        <v>-5246377.38</v>
      </c>
      <c r="O89" s="45">
        <v>-5215067.91</v>
      </c>
    </row>
    <row r="90" spans="1:16" x14ac:dyDescent="0.25">
      <c r="A90" s="2" t="s">
        <v>139</v>
      </c>
      <c r="B90" s="2" t="s">
        <v>140</v>
      </c>
    </row>
    <row r="91" spans="1:16" x14ac:dyDescent="0.25">
      <c r="A91" s="2" t="s">
        <v>141</v>
      </c>
      <c r="B91" s="2" t="s">
        <v>142</v>
      </c>
    </row>
    <row r="92" spans="1:16" x14ac:dyDescent="0.25">
      <c r="A92" s="2" t="s">
        <v>143</v>
      </c>
      <c r="B92" s="2" t="s">
        <v>144</v>
      </c>
    </row>
    <row r="93" spans="1:16" x14ac:dyDescent="0.25">
      <c r="A93" s="2" t="s">
        <v>145</v>
      </c>
      <c r="B93" s="2" t="s">
        <v>146</v>
      </c>
      <c r="C93" s="45">
        <v>448.84</v>
      </c>
      <c r="G93" s="45">
        <v>-448.84</v>
      </c>
      <c r="L93" s="45">
        <v>-1712.36</v>
      </c>
      <c r="M93" s="45">
        <v>2161.1999999999998</v>
      </c>
    </row>
    <row r="94" spans="1:16" x14ac:dyDescent="0.25">
      <c r="A94" s="2" t="s">
        <v>147</v>
      </c>
      <c r="B94" s="2" t="s">
        <v>148</v>
      </c>
      <c r="C94" s="45">
        <v>-154694.1</v>
      </c>
      <c r="G94" s="45">
        <v>154694.1</v>
      </c>
      <c r="J94" s="45">
        <v>-116939.12</v>
      </c>
      <c r="L94" s="45">
        <v>-15153.51</v>
      </c>
      <c r="M94" s="45">
        <v>-12969.53</v>
      </c>
      <c r="N94" s="45">
        <v>-2676.79</v>
      </c>
      <c r="O94" s="45">
        <v>-6955.15</v>
      </c>
    </row>
    <row r="95" spans="1:16" x14ac:dyDescent="0.25">
      <c r="A95" s="2" t="s">
        <v>149</v>
      </c>
      <c r="B95" s="2" t="s">
        <v>150</v>
      </c>
    </row>
    <row r="96" spans="1:16" x14ac:dyDescent="0.25">
      <c r="A96" s="2" t="s">
        <v>151</v>
      </c>
      <c r="B96" s="2" t="s">
        <v>152</v>
      </c>
    </row>
    <row r="97" spans="1:16" x14ac:dyDescent="0.25">
      <c r="A97" s="2" t="s">
        <v>153</v>
      </c>
      <c r="B97" s="2" t="s">
        <v>154</v>
      </c>
    </row>
    <row r="98" spans="1:16" x14ac:dyDescent="0.25">
      <c r="A98" s="2" t="s">
        <v>155</v>
      </c>
      <c r="B98" s="2" t="s">
        <v>156</v>
      </c>
    </row>
    <row r="99" spans="1:16" x14ac:dyDescent="0.25">
      <c r="A99" s="2" t="s">
        <v>157</v>
      </c>
      <c r="B99" s="2" t="s">
        <v>158</v>
      </c>
    </row>
    <row r="100" spans="1:16" x14ac:dyDescent="0.25">
      <c r="A100" s="2" t="s">
        <v>159</v>
      </c>
      <c r="B100" s="2" t="s">
        <v>160</v>
      </c>
    </row>
    <row r="101" spans="1:16" x14ac:dyDescent="0.25">
      <c r="A101" s="2" t="s">
        <v>161</v>
      </c>
      <c r="B101" s="2" t="s">
        <v>162</v>
      </c>
    </row>
    <row r="102" spans="1:16" x14ac:dyDescent="0.25">
      <c r="A102" s="2" t="s">
        <v>163</v>
      </c>
      <c r="B102" s="2" t="s">
        <v>164</v>
      </c>
      <c r="C102" s="45">
        <v>-71400</v>
      </c>
      <c r="D102" s="45">
        <v>-26873.33</v>
      </c>
      <c r="E102" s="45">
        <v>-165.69</v>
      </c>
      <c r="F102" s="45">
        <v>265.69</v>
      </c>
      <c r="G102" s="45">
        <v>44526.67</v>
      </c>
      <c r="I102" s="45">
        <v>-71400</v>
      </c>
    </row>
    <row r="103" spans="1:16" x14ac:dyDescent="0.25">
      <c r="A103" s="2" t="s">
        <v>165</v>
      </c>
      <c r="B103" s="2" t="s">
        <v>166</v>
      </c>
    </row>
    <row r="104" spans="1:16" x14ac:dyDescent="0.25">
      <c r="A104" s="2" t="s">
        <v>167</v>
      </c>
      <c r="B104" s="2" t="s">
        <v>168</v>
      </c>
    </row>
    <row r="105" spans="1:16" x14ac:dyDescent="0.25">
      <c r="A105" s="2" t="s">
        <v>169</v>
      </c>
      <c r="B105" s="2" t="s">
        <v>170</v>
      </c>
      <c r="C105" s="45">
        <v>802300.14</v>
      </c>
      <c r="G105" s="45">
        <v>-802300.14</v>
      </c>
      <c r="I105" s="45">
        <v>60131.56</v>
      </c>
      <c r="M105" s="45">
        <v>173353.96</v>
      </c>
      <c r="N105" s="45">
        <v>271353.73</v>
      </c>
      <c r="O105" s="45">
        <v>297460.89</v>
      </c>
    </row>
    <row r="106" spans="1:16" x14ac:dyDescent="0.25">
      <c r="A106" s="3" t="s">
        <v>171</v>
      </c>
      <c r="B106" s="3" t="s">
        <v>172</v>
      </c>
      <c r="C106" s="46">
        <v>-32623168.16</v>
      </c>
      <c r="D106" s="46">
        <v>-59993521.539999999</v>
      </c>
      <c r="E106" s="46">
        <v>45.62</v>
      </c>
      <c r="F106" s="46">
        <v>54.38</v>
      </c>
      <c r="G106" s="46">
        <v>-27370353.379999999</v>
      </c>
      <c r="I106" s="46">
        <v>-3884801.53</v>
      </c>
      <c r="J106" s="46">
        <v>-11146835.109999999</v>
      </c>
      <c r="K106" s="46">
        <v>-772488.94</v>
      </c>
      <c r="L106" s="46">
        <v>-3672622.23</v>
      </c>
      <c r="M106" s="46">
        <v>-3244157.74</v>
      </c>
      <c r="N106" s="46">
        <v>-4977700.4400000004</v>
      </c>
      <c r="O106" s="46">
        <v>-4924562.17</v>
      </c>
      <c r="P106" s="46"/>
    </row>
    <row r="107" spans="1:16" x14ac:dyDescent="0.25">
      <c r="A107" s="2" t="s">
        <v>12</v>
      </c>
      <c r="B107" s="2" t="s">
        <v>12</v>
      </c>
    </row>
    <row r="108" spans="1:16" x14ac:dyDescent="0.25">
      <c r="A108" s="3" t="s">
        <v>173</v>
      </c>
      <c r="B108" s="3" t="s">
        <v>174</v>
      </c>
      <c r="C108" s="46"/>
      <c r="D108" s="46"/>
      <c r="E108" s="46"/>
      <c r="F108" s="46"/>
      <c r="G108" s="46"/>
      <c r="I108" s="46"/>
      <c r="J108" s="46"/>
      <c r="K108" s="46"/>
      <c r="L108" s="46"/>
      <c r="M108" s="46"/>
      <c r="N108" s="46"/>
      <c r="O108" s="46"/>
      <c r="P108" s="46"/>
    </row>
    <row r="109" spans="1:16" x14ac:dyDescent="0.25">
      <c r="A109" s="2" t="s">
        <v>175</v>
      </c>
      <c r="B109" s="2" t="s">
        <v>174</v>
      </c>
      <c r="C109" s="45">
        <v>-5419886.8300000001</v>
      </c>
      <c r="D109" s="45">
        <v>-11851711.15</v>
      </c>
      <c r="E109" s="45">
        <v>54.27</v>
      </c>
      <c r="F109" s="45">
        <v>45.73</v>
      </c>
      <c r="G109" s="45">
        <v>-6431824.3200000003</v>
      </c>
      <c r="I109" s="45">
        <v>-539601.98</v>
      </c>
      <c r="J109" s="45">
        <v>-1858390.38</v>
      </c>
      <c r="K109" s="45">
        <v>-137073.81</v>
      </c>
      <c r="L109" s="45">
        <v>-618620.27</v>
      </c>
      <c r="M109" s="45">
        <v>-569619.12</v>
      </c>
      <c r="N109" s="45">
        <v>-860373.52</v>
      </c>
      <c r="O109" s="45">
        <v>-836207.75</v>
      </c>
    </row>
    <row r="110" spans="1:16" x14ac:dyDescent="0.25">
      <c r="A110" s="2" t="s">
        <v>176</v>
      </c>
      <c r="B110" s="2" t="s">
        <v>177</v>
      </c>
    </row>
    <row r="111" spans="1:16" x14ac:dyDescent="0.25">
      <c r="A111" s="3" t="s">
        <v>178</v>
      </c>
      <c r="B111" s="3" t="s">
        <v>179</v>
      </c>
      <c r="C111" s="46">
        <v>-5419886.8300000001</v>
      </c>
      <c r="D111" s="46">
        <v>-11851711.15</v>
      </c>
      <c r="E111" s="46">
        <v>54.27</v>
      </c>
      <c r="F111" s="46">
        <v>45.73</v>
      </c>
      <c r="G111" s="46">
        <v>-6431824.3200000003</v>
      </c>
      <c r="I111" s="46">
        <v>-539601.98</v>
      </c>
      <c r="J111" s="46">
        <v>-1858390.38</v>
      </c>
      <c r="K111" s="46">
        <v>-137073.81</v>
      </c>
      <c r="L111" s="46">
        <v>-618620.27</v>
      </c>
      <c r="M111" s="46">
        <v>-569619.12</v>
      </c>
      <c r="N111" s="46">
        <v>-860373.52</v>
      </c>
      <c r="O111" s="46">
        <v>-836207.75</v>
      </c>
      <c r="P111" s="46"/>
    </row>
    <row r="112" spans="1:16" x14ac:dyDescent="0.25">
      <c r="A112" s="2" t="s">
        <v>12</v>
      </c>
      <c r="B112" s="2" t="s">
        <v>12</v>
      </c>
    </row>
    <row r="113" spans="1:16" x14ac:dyDescent="0.25">
      <c r="A113" s="3" t="s">
        <v>180</v>
      </c>
      <c r="B113" s="3" t="s">
        <v>181</v>
      </c>
      <c r="C113" s="46"/>
      <c r="D113" s="46"/>
      <c r="E113" s="46"/>
      <c r="F113" s="46"/>
      <c r="G113" s="46"/>
      <c r="I113" s="46"/>
      <c r="J113" s="46"/>
      <c r="K113" s="46"/>
      <c r="L113" s="46"/>
      <c r="M113" s="46"/>
      <c r="N113" s="46"/>
      <c r="O113" s="46"/>
      <c r="P113" s="46"/>
    </row>
    <row r="114" spans="1:16" x14ac:dyDescent="0.25">
      <c r="A114" s="2" t="s">
        <v>182</v>
      </c>
      <c r="B114" s="2" t="s">
        <v>183</v>
      </c>
      <c r="C114" s="45">
        <v>3633580.92</v>
      </c>
      <c r="D114" s="45">
        <v>5075121</v>
      </c>
      <c r="E114" s="45">
        <v>28.4</v>
      </c>
      <c r="F114" s="45">
        <v>71.599999999999994</v>
      </c>
      <c r="G114" s="45">
        <v>1441540.08</v>
      </c>
      <c r="I114" s="45">
        <v>1396580.41</v>
      </c>
      <c r="J114" s="45">
        <v>1241967.8</v>
      </c>
      <c r="L114" s="45">
        <v>453040.84</v>
      </c>
      <c r="M114" s="45">
        <v>91785.13</v>
      </c>
      <c r="N114" s="45">
        <v>150736.16</v>
      </c>
      <c r="O114" s="45">
        <v>299470.58</v>
      </c>
    </row>
    <row r="115" spans="1:16" x14ac:dyDescent="0.25">
      <c r="A115" s="2" t="s">
        <v>184</v>
      </c>
      <c r="B115" s="2" t="s">
        <v>185</v>
      </c>
      <c r="C115" s="45">
        <v>1000952.81</v>
      </c>
      <c r="G115" s="45">
        <v>-1000952.81</v>
      </c>
      <c r="I115" s="45">
        <v>277906</v>
      </c>
      <c r="J115" s="45">
        <v>227770</v>
      </c>
      <c r="L115" s="45">
        <v>52438</v>
      </c>
      <c r="M115" s="45">
        <v>153686</v>
      </c>
      <c r="N115" s="45">
        <v>59872</v>
      </c>
      <c r="O115" s="45">
        <v>229280.81</v>
      </c>
    </row>
    <row r="116" spans="1:16" x14ac:dyDescent="0.25">
      <c r="A116" s="2" t="s">
        <v>186</v>
      </c>
      <c r="B116" s="2" t="s">
        <v>187</v>
      </c>
    </row>
    <row r="117" spans="1:16" x14ac:dyDescent="0.25">
      <c r="A117" s="2" t="s">
        <v>188</v>
      </c>
      <c r="B117" s="2" t="s">
        <v>189</v>
      </c>
      <c r="C117" s="45">
        <v>130088.37</v>
      </c>
      <c r="G117" s="45">
        <v>-130088.37</v>
      </c>
      <c r="I117" s="45">
        <v>5705.86</v>
      </c>
      <c r="J117" s="45">
        <v>26946.71</v>
      </c>
      <c r="O117" s="45">
        <v>97435.8</v>
      </c>
    </row>
    <row r="118" spans="1:16" x14ac:dyDescent="0.25">
      <c r="A118" s="2" t="s">
        <v>190</v>
      </c>
      <c r="B118" s="2" t="s">
        <v>191</v>
      </c>
    </row>
    <row r="119" spans="1:16" x14ac:dyDescent="0.25">
      <c r="A119" s="2" t="s">
        <v>192</v>
      </c>
      <c r="B119" s="2" t="s">
        <v>193</v>
      </c>
      <c r="C119" s="45">
        <v>93154.92</v>
      </c>
      <c r="G119" s="45">
        <v>-93154.92</v>
      </c>
      <c r="I119" s="45">
        <v>93154.92</v>
      </c>
    </row>
    <row r="120" spans="1:16" x14ac:dyDescent="0.25">
      <c r="A120" s="2" t="s">
        <v>194</v>
      </c>
      <c r="B120" s="2" t="s">
        <v>195</v>
      </c>
      <c r="C120" s="45">
        <v>121482.11</v>
      </c>
      <c r="G120" s="45">
        <v>-121482.11</v>
      </c>
      <c r="J120" s="45">
        <v>121482.11</v>
      </c>
    </row>
    <row r="121" spans="1:16" x14ac:dyDescent="0.25">
      <c r="A121" s="3" t="s">
        <v>196</v>
      </c>
      <c r="B121" s="3" t="s">
        <v>197</v>
      </c>
      <c r="C121" s="46">
        <v>4979259.13</v>
      </c>
      <c r="D121" s="46">
        <v>5075121</v>
      </c>
      <c r="E121" s="46">
        <v>1.89</v>
      </c>
      <c r="F121" s="46">
        <v>98.11</v>
      </c>
      <c r="G121" s="46">
        <v>95861.87</v>
      </c>
      <c r="I121" s="46">
        <v>1773347.19</v>
      </c>
      <c r="J121" s="46">
        <v>1618166.62</v>
      </c>
      <c r="K121" s="46"/>
      <c r="L121" s="46">
        <v>505478.84</v>
      </c>
      <c r="M121" s="46">
        <v>245471.13</v>
      </c>
      <c r="N121" s="46">
        <v>210608.16</v>
      </c>
      <c r="O121" s="46">
        <v>626187.18999999994</v>
      </c>
      <c r="P121" s="46"/>
    </row>
    <row r="122" spans="1:16" x14ac:dyDescent="0.25">
      <c r="A122" s="3" t="s">
        <v>198</v>
      </c>
      <c r="B122" s="3" t="s">
        <v>199</v>
      </c>
      <c r="C122" s="46">
        <v>-33063795.859999999</v>
      </c>
      <c r="D122" s="46">
        <v>-66770111.689999998</v>
      </c>
      <c r="E122" s="46">
        <v>50.48</v>
      </c>
      <c r="F122" s="46">
        <v>49.52</v>
      </c>
      <c r="G122" s="46">
        <v>-33706315.829999998</v>
      </c>
      <c r="I122" s="46">
        <v>-2651056.3199999998</v>
      </c>
      <c r="J122" s="46">
        <v>-11387058.869999999</v>
      </c>
      <c r="K122" s="46">
        <v>-909562.75</v>
      </c>
      <c r="L122" s="46">
        <v>-3785763.66</v>
      </c>
      <c r="M122" s="46">
        <v>-3568305.73</v>
      </c>
      <c r="N122" s="46">
        <v>-5627465.7999999998</v>
      </c>
      <c r="O122" s="46">
        <v>-5134582.7300000004</v>
      </c>
      <c r="P122" s="46"/>
    </row>
    <row r="123" spans="1:16" x14ac:dyDescent="0.25">
      <c r="A123" s="2" t="s">
        <v>12</v>
      </c>
      <c r="B123" s="2" t="s">
        <v>12</v>
      </c>
    </row>
    <row r="124" spans="1:16" x14ac:dyDescent="0.25">
      <c r="A124" s="3" t="s">
        <v>200</v>
      </c>
      <c r="B124" s="3" t="s">
        <v>201</v>
      </c>
      <c r="C124" s="46">
        <v>-33523026</v>
      </c>
      <c r="D124" s="46">
        <v>-67821717.689999998</v>
      </c>
      <c r="E124" s="46">
        <v>50.57</v>
      </c>
      <c r="F124" s="46">
        <v>49.43</v>
      </c>
      <c r="G124" s="46">
        <v>-34298691.689999998</v>
      </c>
      <c r="I124" s="46">
        <v>-2662440.16</v>
      </c>
      <c r="J124" s="46">
        <v>-11400603.74</v>
      </c>
      <c r="K124" s="46">
        <v>-915059.15</v>
      </c>
      <c r="L124" s="46">
        <v>-3954163.11</v>
      </c>
      <c r="M124" s="46">
        <v>-3658858.98</v>
      </c>
      <c r="N124" s="46">
        <v>-5716393.1299999999</v>
      </c>
      <c r="O124" s="46">
        <v>-5215507.7300000004</v>
      </c>
      <c r="P124" s="46"/>
    </row>
    <row r="125" spans="1:16" x14ac:dyDescent="0.25">
      <c r="A125" s="2" t="s">
        <v>12</v>
      </c>
      <c r="B125" s="2" t="s">
        <v>12</v>
      </c>
    </row>
    <row r="126" spans="1:16" x14ac:dyDescent="0.25">
      <c r="A126" s="3" t="s">
        <v>202</v>
      </c>
      <c r="B126" s="3" t="s">
        <v>203</v>
      </c>
      <c r="C126" s="46">
        <v>16726808.02</v>
      </c>
      <c r="D126" s="46">
        <v>28765554.489999998</v>
      </c>
      <c r="E126" s="46">
        <v>41.85</v>
      </c>
      <c r="F126" s="46">
        <v>58.15</v>
      </c>
      <c r="G126" s="46">
        <v>12038746.470000001</v>
      </c>
      <c r="I126" s="46">
        <v>-1531222.66</v>
      </c>
      <c r="J126" s="46">
        <v>3039763.18</v>
      </c>
      <c r="K126" s="46">
        <v>1852114.75</v>
      </c>
      <c r="L126" s="46">
        <v>1224458.19</v>
      </c>
      <c r="M126" s="46">
        <v>1798403.6</v>
      </c>
      <c r="N126" s="46">
        <v>-138154.18</v>
      </c>
      <c r="O126" s="46">
        <v>-305674.02</v>
      </c>
      <c r="P126" s="46">
        <v>10787119.16</v>
      </c>
    </row>
    <row r="127" spans="1:16" x14ac:dyDescent="0.25">
      <c r="A127" s="2" t="s">
        <v>12</v>
      </c>
      <c r="B127" s="2" t="s">
        <v>12</v>
      </c>
    </row>
    <row r="128" spans="1:16" x14ac:dyDescent="0.25">
      <c r="A128" s="3" t="s">
        <v>204</v>
      </c>
      <c r="B128" s="3" t="s">
        <v>205</v>
      </c>
      <c r="C128" s="46"/>
      <c r="D128" s="46"/>
      <c r="E128" s="46"/>
      <c r="F128" s="46"/>
      <c r="G128" s="46"/>
      <c r="I128" s="46"/>
      <c r="J128" s="46"/>
      <c r="K128" s="46"/>
      <c r="L128" s="46"/>
      <c r="M128" s="46"/>
      <c r="N128" s="46"/>
      <c r="O128" s="46"/>
      <c r="P128" s="46"/>
    </row>
    <row r="129" spans="1:16" x14ac:dyDescent="0.25">
      <c r="A129" s="2" t="s">
        <v>206</v>
      </c>
      <c r="B129" s="2" t="s">
        <v>207</v>
      </c>
      <c r="C129" s="45">
        <v>67544.899999999994</v>
      </c>
      <c r="D129" s="45">
        <v>580143.63</v>
      </c>
      <c r="E129" s="45">
        <v>88.36</v>
      </c>
      <c r="F129" s="45">
        <v>11.64</v>
      </c>
      <c r="G129" s="45">
        <v>512598.73</v>
      </c>
      <c r="I129" s="45">
        <v>13644.9</v>
      </c>
      <c r="J129" s="45">
        <v>24640</v>
      </c>
      <c r="L129" s="45">
        <v>3850</v>
      </c>
      <c r="M129" s="45">
        <v>4235</v>
      </c>
      <c r="N129" s="45">
        <v>10395</v>
      </c>
      <c r="O129" s="45">
        <v>10780</v>
      </c>
    </row>
    <row r="130" spans="1:16" x14ac:dyDescent="0.25">
      <c r="A130" s="2" t="s">
        <v>208</v>
      </c>
      <c r="B130" s="2" t="s">
        <v>209</v>
      </c>
      <c r="C130" s="45">
        <v>1103518.27</v>
      </c>
      <c r="D130" s="45">
        <v>83204.73</v>
      </c>
      <c r="E130" s="45">
        <v>-1226.27</v>
      </c>
      <c r="F130" s="45">
        <v>1326.27</v>
      </c>
      <c r="G130" s="45">
        <v>-1020313.54</v>
      </c>
      <c r="I130" s="45">
        <v>1066848.6200000001</v>
      </c>
      <c r="J130" s="45">
        <v>20501.36</v>
      </c>
      <c r="M130" s="45">
        <v>6748.84</v>
      </c>
      <c r="N130" s="45">
        <v>6575.62</v>
      </c>
      <c r="O130" s="45">
        <v>2843.83</v>
      </c>
    </row>
    <row r="131" spans="1:16" x14ac:dyDescent="0.25">
      <c r="A131" s="2" t="s">
        <v>210</v>
      </c>
      <c r="B131" s="2" t="s">
        <v>211</v>
      </c>
      <c r="D131" s="45">
        <v>150000</v>
      </c>
      <c r="E131" s="45">
        <v>100</v>
      </c>
      <c r="G131" s="45">
        <v>150000</v>
      </c>
    </row>
    <row r="132" spans="1:16" x14ac:dyDescent="0.25">
      <c r="A132" s="2" t="s">
        <v>212</v>
      </c>
      <c r="B132" s="2" t="s">
        <v>213</v>
      </c>
    </row>
    <row r="133" spans="1:16" x14ac:dyDescent="0.25">
      <c r="A133" s="2" t="s">
        <v>214</v>
      </c>
      <c r="B133" s="2" t="s">
        <v>215</v>
      </c>
    </row>
    <row r="134" spans="1:16" x14ac:dyDescent="0.25">
      <c r="A134" s="2" t="s">
        <v>216</v>
      </c>
      <c r="B134" s="2" t="s">
        <v>217</v>
      </c>
      <c r="C134" s="45">
        <v>15000</v>
      </c>
      <c r="G134" s="45">
        <v>-15000</v>
      </c>
      <c r="N134" s="45">
        <v>15000</v>
      </c>
    </row>
    <row r="135" spans="1:16" x14ac:dyDescent="0.25">
      <c r="A135" s="3" t="s">
        <v>218</v>
      </c>
      <c r="B135" s="3" t="s">
        <v>219</v>
      </c>
      <c r="C135" s="46">
        <v>1186063.17</v>
      </c>
      <c r="D135" s="46">
        <v>813348.36</v>
      </c>
      <c r="E135" s="46">
        <v>-45.82</v>
      </c>
      <c r="F135" s="46">
        <v>145.82</v>
      </c>
      <c r="G135" s="46">
        <v>-372714.81</v>
      </c>
      <c r="I135" s="46">
        <v>1080493.52</v>
      </c>
      <c r="J135" s="46">
        <v>45141.36</v>
      </c>
      <c r="K135" s="46"/>
      <c r="L135" s="46">
        <v>3850</v>
      </c>
      <c r="M135" s="46">
        <v>10983.84</v>
      </c>
      <c r="N135" s="46">
        <v>31970.62</v>
      </c>
      <c r="O135" s="46">
        <v>13623.83</v>
      </c>
      <c r="P135" s="46"/>
    </row>
    <row r="136" spans="1:16" x14ac:dyDescent="0.25">
      <c r="A136" s="2" t="s">
        <v>12</v>
      </c>
      <c r="B136" s="2" t="s">
        <v>12</v>
      </c>
    </row>
    <row r="137" spans="1:16" x14ac:dyDescent="0.25">
      <c r="A137" s="3" t="s">
        <v>220</v>
      </c>
      <c r="B137" s="3" t="s">
        <v>221</v>
      </c>
      <c r="C137" s="46"/>
      <c r="D137" s="46"/>
      <c r="E137" s="46"/>
      <c r="F137" s="46"/>
      <c r="G137" s="46"/>
      <c r="I137" s="46"/>
      <c r="J137" s="46"/>
      <c r="K137" s="46"/>
      <c r="L137" s="46"/>
      <c r="M137" s="46"/>
      <c r="N137" s="46"/>
      <c r="O137" s="46"/>
      <c r="P137" s="46"/>
    </row>
    <row r="138" spans="1:16" x14ac:dyDescent="0.25">
      <c r="A138" s="2" t="s">
        <v>222</v>
      </c>
      <c r="B138" s="2" t="s">
        <v>223</v>
      </c>
      <c r="D138" s="45">
        <v>-4000000</v>
      </c>
      <c r="E138" s="45">
        <v>100</v>
      </c>
      <c r="G138" s="45">
        <v>-4000000</v>
      </c>
    </row>
    <row r="139" spans="1:16" x14ac:dyDescent="0.25">
      <c r="A139" s="2" t="s">
        <v>224</v>
      </c>
      <c r="B139" s="2" t="s">
        <v>225</v>
      </c>
    </row>
    <row r="140" spans="1:16" x14ac:dyDescent="0.25">
      <c r="A140" s="2" t="s">
        <v>226</v>
      </c>
      <c r="B140" s="2" t="s">
        <v>227</v>
      </c>
      <c r="C140" s="45">
        <v>-2035138.09</v>
      </c>
      <c r="D140" s="45">
        <v>-3926274.64</v>
      </c>
      <c r="E140" s="45">
        <v>48.17</v>
      </c>
      <c r="F140" s="45">
        <v>51.83</v>
      </c>
      <c r="G140" s="45">
        <v>-1891136.55</v>
      </c>
      <c r="J140" s="45">
        <v>-1560127.08</v>
      </c>
      <c r="L140" s="45">
        <v>-507948.34</v>
      </c>
      <c r="M140" s="45">
        <v>-544230.37</v>
      </c>
      <c r="N140" s="45">
        <v>-544230.37</v>
      </c>
      <c r="O140" s="45">
        <v>-471666.32</v>
      </c>
    </row>
    <row r="141" spans="1:16" x14ac:dyDescent="0.25">
      <c r="A141" s="2" t="s">
        <v>228</v>
      </c>
      <c r="B141" s="2" t="s">
        <v>229</v>
      </c>
      <c r="C141" s="45">
        <v>2035138.09</v>
      </c>
      <c r="D141" s="45">
        <v>3926274.64</v>
      </c>
      <c r="E141" s="45">
        <v>48.17</v>
      </c>
      <c r="F141" s="45">
        <v>51.83</v>
      </c>
      <c r="G141" s="45">
        <v>1891136.55</v>
      </c>
      <c r="I141" s="45">
        <v>3628202.48</v>
      </c>
    </row>
    <row r="142" spans="1:16" x14ac:dyDescent="0.25">
      <c r="A142" s="2" t="s">
        <v>230</v>
      </c>
      <c r="B142" s="2" t="s">
        <v>231</v>
      </c>
      <c r="C142" s="45">
        <v>-4140.8</v>
      </c>
      <c r="D142" s="45">
        <v>-7000</v>
      </c>
      <c r="E142" s="45">
        <v>40.85</v>
      </c>
      <c r="F142" s="45">
        <v>59.15</v>
      </c>
      <c r="G142" s="45">
        <v>-2859.2</v>
      </c>
      <c r="I142" s="45">
        <v>-880</v>
      </c>
      <c r="K142" s="45">
        <v>-1180.8</v>
      </c>
      <c r="O142" s="45">
        <v>-2080</v>
      </c>
    </row>
    <row r="143" spans="1:16" x14ac:dyDescent="0.25">
      <c r="A143" s="2" t="s">
        <v>232</v>
      </c>
      <c r="B143" s="2" t="s">
        <v>233</v>
      </c>
      <c r="C143" s="45">
        <v>-29987.16</v>
      </c>
      <c r="D143" s="45">
        <v>-274000</v>
      </c>
      <c r="E143" s="45">
        <v>89.06</v>
      </c>
      <c r="F143" s="45">
        <v>10.94</v>
      </c>
      <c r="G143" s="45">
        <v>-244012.84</v>
      </c>
      <c r="I143" s="45">
        <v>-15801.75</v>
      </c>
      <c r="J143" s="45">
        <v>-2471.7399999999998</v>
      </c>
      <c r="K143" s="45">
        <v>-563.55999999999995</v>
      </c>
      <c r="L143" s="45">
        <v>-5357.13</v>
      </c>
      <c r="M143" s="45">
        <v>-3309.48</v>
      </c>
      <c r="N143" s="45">
        <v>-381.68</v>
      </c>
      <c r="O143" s="45">
        <v>-2101.8200000000002</v>
      </c>
    </row>
    <row r="144" spans="1:16" x14ac:dyDescent="0.25">
      <c r="A144" s="2" t="s">
        <v>234</v>
      </c>
      <c r="B144" s="2" t="s">
        <v>235</v>
      </c>
      <c r="D144" s="45">
        <v>-25000</v>
      </c>
      <c r="E144" s="45">
        <v>100</v>
      </c>
      <c r="G144" s="45">
        <v>-25000</v>
      </c>
    </row>
    <row r="145" spans="1:15" x14ac:dyDescent="0.25">
      <c r="A145" s="2" t="s">
        <v>236</v>
      </c>
      <c r="B145" s="2" t="s">
        <v>237</v>
      </c>
      <c r="C145" s="45">
        <v>-5782.94</v>
      </c>
      <c r="D145" s="45">
        <v>-35000</v>
      </c>
      <c r="E145" s="45">
        <v>83.48</v>
      </c>
      <c r="F145" s="45">
        <v>16.52</v>
      </c>
      <c r="G145" s="45">
        <v>-29217.06</v>
      </c>
      <c r="I145" s="45">
        <v>-287.2</v>
      </c>
      <c r="J145" s="45">
        <v>-96.54</v>
      </c>
      <c r="K145" s="45">
        <v>-5012</v>
      </c>
      <c r="L145" s="45">
        <v>-228</v>
      </c>
      <c r="O145" s="45">
        <v>-159.19999999999999</v>
      </c>
    </row>
    <row r="146" spans="1:15" x14ac:dyDescent="0.25">
      <c r="A146" s="2" t="s">
        <v>238</v>
      </c>
      <c r="B146" s="2" t="s">
        <v>239</v>
      </c>
      <c r="C146" s="45">
        <v>-28318.55</v>
      </c>
      <c r="D146" s="45">
        <v>-63506.63</v>
      </c>
      <c r="E146" s="45">
        <v>55.41</v>
      </c>
      <c r="F146" s="45">
        <v>44.59</v>
      </c>
      <c r="G146" s="45">
        <v>-35188.080000000002</v>
      </c>
      <c r="I146" s="45">
        <v>-19923.72</v>
      </c>
      <c r="J146" s="45">
        <v>-1764.75</v>
      </c>
      <c r="K146" s="45">
        <v>-505.6</v>
      </c>
      <c r="M146" s="45">
        <v>-5768.48</v>
      </c>
      <c r="N146" s="45">
        <v>-356</v>
      </c>
    </row>
    <row r="147" spans="1:15" x14ac:dyDescent="0.25">
      <c r="A147" s="2" t="s">
        <v>240</v>
      </c>
      <c r="B147" s="2" t="s">
        <v>241</v>
      </c>
      <c r="C147" s="45">
        <v>-236820.31</v>
      </c>
      <c r="G147" s="45">
        <v>236820.31</v>
      </c>
      <c r="J147" s="45">
        <v>-114797.93</v>
      </c>
      <c r="L147" s="45">
        <v>-15683.19</v>
      </c>
      <c r="M147" s="45">
        <v>-3477.4</v>
      </c>
      <c r="N147" s="45">
        <v>-64361.79</v>
      </c>
      <c r="O147" s="45">
        <v>-38500</v>
      </c>
    </row>
    <row r="148" spans="1:15" x14ac:dyDescent="0.25">
      <c r="A148" s="2" t="s">
        <v>242</v>
      </c>
      <c r="B148" s="2" t="s">
        <v>243</v>
      </c>
      <c r="C148" s="45">
        <v>-45160.07</v>
      </c>
      <c r="D148" s="45">
        <v>-192660</v>
      </c>
      <c r="E148" s="45">
        <v>76.56</v>
      </c>
      <c r="F148" s="45">
        <v>23.44</v>
      </c>
      <c r="G148" s="45">
        <v>-147499.93</v>
      </c>
      <c r="J148" s="45">
        <v>-27504.65</v>
      </c>
      <c r="L148" s="45">
        <v>-384.2</v>
      </c>
      <c r="M148" s="45">
        <v>-600</v>
      </c>
      <c r="N148" s="45">
        <v>-665.08</v>
      </c>
      <c r="O148" s="45">
        <v>-16006.14</v>
      </c>
    </row>
    <row r="149" spans="1:15" x14ac:dyDescent="0.25">
      <c r="A149" s="2" t="s">
        <v>244</v>
      </c>
      <c r="B149" s="2" t="s">
        <v>245</v>
      </c>
      <c r="C149" s="45">
        <v>-69039.679999999993</v>
      </c>
      <c r="D149" s="45">
        <v>-156400</v>
      </c>
      <c r="E149" s="45">
        <v>55.86</v>
      </c>
      <c r="F149" s="45">
        <v>44.14</v>
      </c>
      <c r="G149" s="45">
        <v>-87360.320000000007</v>
      </c>
      <c r="J149" s="45">
        <v>-20713.55</v>
      </c>
      <c r="L149" s="45">
        <v>-4718.33</v>
      </c>
      <c r="M149" s="45">
        <v>-4915.7</v>
      </c>
      <c r="N149" s="45">
        <v>-5306.5</v>
      </c>
      <c r="O149" s="45">
        <v>-33385.599999999999</v>
      </c>
    </row>
    <row r="150" spans="1:15" x14ac:dyDescent="0.25">
      <c r="A150" s="2" t="s">
        <v>246</v>
      </c>
      <c r="B150" s="2" t="s">
        <v>247</v>
      </c>
      <c r="C150" s="45">
        <v>-449754.97</v>
      </c>
      <c r="D150" s="45">
        <v>-4814375</v>
      </c>
      <c r="E150" s="45">
        <v>90.66</v>
      </c>
      <c r="F150" s="45">
        <v>9.34</v>
      </c>
      <c r="G150" s="45">
        <v>-4364620.03</v>
      </c>
      <c r="I150" s="45">
        <v>-7315</v>
      </c>
      <c r="J150" s="45">
        <v>-40534.699999999997</v>
      </c>
      <c r="K150" s="45">
        <v>-3398.24</v>
      </c>
      <c r="L150" s="45">
        <v>-105203.85</v>
      </c>
      <c r="M150" s="45">
        <v>-2833.33</v>
      </c>
      <c r="N150" s="45">
        <v>-2391.4499999999998</v>
      </c>
      <c r="O150" s="45">
        <v>-288078.40000000002</v>
      </c>
    </row>
    <row r="151" spans="1:15" x14ac:dyDescent="0.25">
      <c r="A151" s="2" t="s">
        <v>248</v>
      </c>
      <c r="B151" s="2" t="s">
        <v>249</v>
      </c>
      <c r="C151" s="45">
        <v>-109287.71</v>
      </c>
      <c r="D151" s="45">
        <v>-390000</v>
      </c>
      <c r="E151" s="45">
        <v>71.98</v>
      </c>
      <c r="F151" s="45">
        <v>28.02</v>
      </c>
      <c r="G151" s="45">
        <v>-280712.28999999998</v>
      </c>
      <c r="J151" s="45">
        <v>-56598.15</v>
      </c>
      <c r="K151" s="45">
        <v>-5692</v>
      </c>
      <c r="L151" s="45">
        <v>-8070.21</v>
      </c>
      <c r="M151" s="45">
        <v>-2710.49</v>
      </c>
      <c r="N151" s="45">
        <v>-4194.8100000000004</v>
      </c>
      <c r="O151" s="45">
        <v>-32022.05</v>
      </c>
    </row>
    <row r="152" spans="1:15" x14ac:dyDescent="0.25">
      <c r="A152" s="2" t="s">
        <v>250</v>
      </c>
      <c r="B152" s="2" t="s">
        <v>251</v>
      </c>
    </row>
    <row r="153" spans="1:15" x14ac:dyDescent="0.25">
      <c r="A153" s="2" t="s">
        <v>252</v>
      </c>
      <c r="B153" s="2" t="s">
        <v>253</v>
      </c>
      <c r="C153" s="45">
        <v>-100431.72</v>
      </c>
      <c r="D153" s="45">
        <v>-70000</v>
      </c>
      <c r="E153" s="45">
        <v>-43.47</v>
      </c>
      <c r="F153" s="45">
        <v>143.47</v>
      </c>
      <c r="G153" s="45">
        <v>30431.72</v>
      </c>
      <c r="J153" s="45">
        <v>-10488.3</v>
      </c>
      <c r="L153" s="45">
        <v>-17374.5</v>
      </c>
      <c r="M153" s="45">
        <v>-267.3</v>
      </c>
      <c r="N153" s="45">
        <v>-410.4</v>
      </c>
      <c r="O153" s="45">
        <v>-71891.22</v>
      </c>
    </row>
    <row r="154" spans="1:15" x14ac:dyDescent="0.25">
      <c r="A154" s="2" t="s">
        <v>254</v>
      </c>
      <c r="B154" s="2" t="s">
        <v>255</v>
      </c>
      <c r="C154" s="45">
        <v>-111985.19</v>
      </c>
      <c r="D154" s="45">
        <v>-213155.18</v>
      </c>
      <c r="E154" s="45">
        <v>47.46</v>
      </c>
      <c r="F154" s="45">
        <v>52.54</v>
      </c>
      <c r="G154" s="45">
        <v>-101169.99</v>
      </c>
      <c r="J154" s="45">
        <v>-31540</v>
      </c>
      <c r="L154" s="45">
        <v>-9880</v>
      </c>
      <c r="M154" s="45">
        <v>-13340</v>
      </c>
      <c r="N154" s="45">
        <v>-32775.19</v>
      </c>
      <c r="O154" s="45">
        <v>-24450</v>
      </c>
    </row>
    <row r="155" spans="1:15" x14ac:dyDescent="0.25">
      <c r="A155" s="2" t="s">
        <v>256</v>
      </c>
      <c r="B155" s="2" t="s">
        <v>257</v>
      </c>
      <c r="D155" s="45">
        <v>-72666.66</v>
      </c>
      <c r="E155" s="45">
        <v>100</v>
      </c>
      <c r="G155" s="45">
        <v>-72666.66</v>
      </c>
    </row>
    <row r="156" spans="1:15" x14ac:dyDescent="0.25">
      <c r="A156" s="2" t="s">
        <v>258</v>
      </c>
      <c r="B156" s="2" t="s">
        <v>259</v>
      </c>
      <c r="C156" s="45">
        <v>-193393.85</v>
      </c>
      <c r="D156" s="45">
        <v>-49323.4</v>
      </c>
      <c r="E156" s="45">
        <v>-292.08999999999997</v>
      </c>
      <c r="F156" s="45">
        <v>392.09</v>
      </c>
      <c r="G156" s="45">
        <v>144070.45000000001</v>
      </c>
      <c r="I156" s="45">
        <v>-193393.85</v>
      </c>
    </row>
    <row r="157" spans="1:15" x14ac:dyDescent="0.25">
      <c r="A157" s="2" t="s">
        <v>260</v>
      </c>
      <c r="B157" s="2" t="s">
        <v>261</v>
      </c>
      <c r="D157" s="45">
        <v>-866371</v>
      </c>
      <c r="E157" s="45">
        <v>100</v>
      </c>
      <c r="G157" s="45">
        <v>-866371</v>
      </c>
    </row>
    <row r="158" spans="1:15" x14ac:dyDescent="0.25">
      <c r="A158" s="2" t="s">
        <v>262</v>
      </c>
      <c r="B158" s="2" t="s">
        <v>263</v>
      </c>
      <c r="C158" s="45">
        <v>-48932.63</v>
      </c>
      <c r="D158" s="45">
        <v>-1280000</v>
      </c>
      <c r="E158" s="45">
        <v>96.18</v>
      </c>
      <c r="F158" s="45">
        <v>3.82</v>
      </c>
      <c r="G158" s="45">
        <v>-1231067.3700000001</v>
      </c>
      <c r="I158" s="45">
        <v>-12222.02</v>
      </c>
      <c r="J158" s="45">
        <v>-10476.549999999999</v>
      </c>
      <c r="K158" s="45">
        <v>-358.7</v>
      </c>
      <c r="M158" s="45">
        <v>-2592</v>
      </c>
      <c r="N158" s="45">
        <v>-21490.6</v>
      </c>
      <c r="O158" s="45">
        <v>-1792.76</v>
      </c>
    </row>
    <row r="159" spans="1:15" x14ac:dyDescent="0.25">
      <c r="A159" s="2" t="s">
        <v>264</v>
      </c>
      <c r="B159" s="2" t="s">
        <v>265</v>
      </c>
    </row>
    <row r="160" spans="1:15" x14ac:dyDescent="0.25">
      <c r="A160" s="2" t="s">
        <v>266</v>
      </c>
      <c r="B160" s="2" t="s">
        <v>267</v>
      </c>
    </row>
    <row r="161" spans="1:15" x14ac:dyDescent="0.25">
      <c r="A161" s="2" t="s">
        <v>268</v>
      </c>
      <c r="B161" s="2" t="s">
        <v>269</v>
      </c>
      <c r="C161" s="45">
        <v>-702399.28</v>
      </c>
      <c r="D161" s="45">
        <v>-1508000</v>
      </c>
      <c r="E161" s="45">
        <v>53.42</v>
      </c>
      <c r="F161" s="45">
        <v>46.58</v>
      </c>
      <c r="G161" s="45">
        <v>-805600.72</v>
      </c>
      <c r="J161" s="45">
        <v>-126316.63</v>
      </c>
      <c r="K161" s="45">
        <v>-319835.71999999997</v>
      </c>
      <c r="L161" s="45">
        <v>-58953.79</v>
      </c>
      <c r="M161" s="45">
        <v>-40665.339999999997</v>
      </c>
      <c r="N161" s="45">
        <v>-27596.46</v>
      </c>
      <c r="O161" s="45">
        <v>-129031.34</v>
      </c>
    </row>
    <row r="162" spans="1:15" x14ac:dyDescent="0.25">
      <c r="A162" s="2" t="s">
        <v>270</v>
      </c>
      <c r="B162" s="2" t="s">
        <v>271</v>
      </c>
      <c r="C162" s="45">
        <v>-354702.35</v>
      </c>
      <c r="D162" s="45">
        <v>-793000</v>
      </c>
      <c r="E162" s="45">
        <v>55.27</v>
      </c>
      <c r="F162" s="45">
        <v>44.73</v>
      </c>
      <c r="G162" s="45">
        <v>-438297.65</v>
      </c>
      <c r="J162" s="45">
        <v>-203819.96</v>
      </c>
      <c r="K162" s="45">
        <v>-4841.38</v>
      </c>
      <c r="L162" s="45">
        <v>-22639.41</v>
      </c>
      <c r="M162" s="45">
        <v>-22378.400000000001</v>
      </c>
      <c r="N162" s="45">
        <v>-42737.919999999998</v>
      </c>
      <c r="O162" s="45">
        <v>-58285.279999999999</v>
      </c>
    </row>
    <row r="163" spans="1:15" x14ac:dyDescent="0.25">
      <c r="A163" s="2" t="s">
        <v>272</v>
      </c>
      <c r="B163" s="2" t="s">
        <v>273</v>
      </c>
      <c r="C163" s="45">
        <v>-237134.32</v>
      </c>
      <c r="D163" s="45">
        <v>-324642</v>
      </c>
      <c r="E163" s="45">
        <v>26.96</v>
      </c>
      <c r="F163" s="45">
        <v>73.040000000000006</v>
      </c>
      <c r="G163" s="45">
        <v>-87507.68</v>
      </c>
      <c r="J163" s="45">
        <v>-54298.68</v>
      </c>
      <c r="K163" s="45">
        <v>-141326.01</v>
      </c>
      <c r="L163" s="45">
        <v>-20895.95</v>
      </c>
      <c r="M163" s="45">
        <v>-2916.13</v>
      </c>
      <c r="N163" s="45">
        <v>-17271.93</v>
      </c>
      <c r="O163" s="45">
        <v>-425.62</v>
      </c>
    </row>
    <row r="164" spans="1:15" x14ac:dyDescent="0.25">
      <c r="A164" s="2" t="s">
        <v>274</v>
      </c>
      <c r="B164" s="2" t="s">
        <v>275</v>
      </c>
      <c r="C164" s="45">
        <v>-22626.59</v>
      </c>
      <c r="D164" s="45">
        <v>-78500</v>
      </c>
      <c r="E164" s="45">
        <v>71.180000000000007</v>
      </c>
      <c r="F164" s="45">
        <v>28.82</v>
      </c>
      <c r="G164" s="45">
        <v>-55873.41</v>
      </c>
      <c r="J164" s="45">
        <v>-8578.06</v>
      </c>
      <c r="L164" s="45">
        <v>-576.38</v>
      </c>
      <c r="M164" s="45">
        <v>-6490.67</v>
      </c>
      <c r="N164" s="45">
        <v>-4377.71</v>
      </c>
      <c r="O164" s="45">
        <v>-2603.77</v>
      </c>
    </row>
    <row r="165" spans="1:15" x14ac:dyDescent="0.25">
      <c r="A165" s="2" t="s">
        <v>276</v>
      </c>
      <c r="B165" s="2" t="s">
        <v>277</v>
      </c>
      <c r="C165" s="45">
        <v>-12992.86</v>
      </c>
      <c r="D165" s="45">
        <v>-84000</v>
      </c>
      <c r="E165" s="45">
        <v>84.53</v>
      </c>
      <c r="F165" s="45">
        <v>15.47</v>
      </c>
      <c r="G165" s="45">
        <v>-71007.14</v>
      </c>
      <c r="J165" s="45">
        <v>-5523.19</v>
      </c>
      <c r="K165" s="45">
        <v>-407.85</v>
      </c>
      <c r="L165" s="45">
        <v>-551.53</v>
      </c>
      <c r="O165" s="45">
        <v>-6510.29</v>
      </c>
    </row>
    <row r="166" spans="1:15" x14ac:dyDescent="0.25">
      <c r="A166" s="2" t="s">
        <v>278</v>
      </c>
      <c r="B166" s="2" t="s">
        <v>279</v>
      </c>
      <c r="C166" s="45">
        <v>229516.88</v>
      </c>
      <c r="G166" s="45">
        <v>-229516.88</v>
      </c>
      <c r="K166" s="45">
        <v>229516.88</v>
      </c>
    </row>
    <row r="167" spans="1:15" x14ac:dyDescent="0.25">
      <c r="A167" s="2" t="s">
        <v>280</v>
      </c>
      <c r="B167" s="2" t="s">
        <v>281</v>
      </c>
      <c r="C167" s="45">
        <v>-275829.33</v>
      </c>
      <c r="D167" s="45">
        <v>-580000</v>
      </c>
      <c r="E167" s="45">
        <v>52.44</v>
      </c>
      <c r="F167" s="45">
        <v>47.56</v>
      </c>
      <c r="G167" s="45">
        <v>-304170.67</v>
      </c>
      <c r="I167" s="45">
        <v>-87562.17</v>
      </c>
      <c r="J167" s="45">
        <v>-60775.98</v>
      </c>
      <c r="L167" s="45">
        <v>-19645.669999999998</v>
      </c>
      <c r="M167" s="45">
        <v>-15886</v>
      </c>
      <c r="N167" s="45">
        <v>-74459.509999999995</v>
      </c>
      <c r="O167" s="45">
        <v>-17500</v>
      </c>
    </row>
    <row r="168" spans="1:15" x14ac:dyDescent="0.25">
      <c r="A168" s="2" t="s">
        <v>282</v>
      </c>
      <c r="B168" s="2" t="s">
        <v>283</v>
      </c>
      <c r="C168" s="45">
        <v>-944196.49</v>
      </c>
      <c r="D168" s="45">
        <v>-2200000</v>
      </c>
      <c r="E168" s="45">
        <v>57.08</v>
      </c>
      <c r="F168" s="45">
        <v>42.92</v>
      </c>
      <c r="G168" s="45">
        <v>-1255803.51</v>
      </c>
      <c r="I168" s="45">
        <v>-859734.9</v>
      </c>
      <c r="J168" s="45">
        <v>-43218.53</v>
      </c>
      <c r="L168" s="45">
        <v>-9202.92</v>
      </c>
      <c r="M168" s="45">
        <v>-21047.47</v>
      </c>
      <c r="N168" s="45">
        <v>-4919.1899999999996</v>
      </c>
      <c r="O168" s="45">
        <v>-6073.48</v>
      </c>
    </row>
    <row r="169" spans="1:15" x14ac:dyDescent="0.25">
      <c r="A169" s="2" t="s">
        <v>284</v>
      </c>
      <c r="B169" s="2" t="s">
        <v>285</v>
      </c>
      <c r="C169" s="45">
        <v>-109624.75</v>
      </c>
      <c r="D169" s="45">
        <v>-350000</v>
      </c>
      <c r="E169" s="45">
        <v>68.680000000000007</v>
      </c>
      <c r="F169" s="45">
        <v>31.32</v>
      </c>
      <c r="G169" s="45">
        <v>-240375.25</v>
      </c>
      <c r="I169" s="45">
        <v>-109624.75</v>
      </c>
    </row>
    <row r="170" spans="1:15" x14ac:dyDescent="0.25">
      <c r="A170" s="2" t="s">
        <v>286</v>
      </c>
      <c r="B170" s="2" t="s">
        <v>287</v>
      </c>
      <c r="C170" s="45">
        <v>-38500</v>
      </c>
      <c r="D170" s="45">
        <v>-50000</v>
      </c>
      <c r="E170" s="45">
        <v>23</v>
      </c>
      <c r="F170" s="45">
        <v>77</v>
      </c>
      <c r="G170" s="45">
        <v>-11500</v>
      </c>
      <c r="I170" s="45">
        <v>-38500</v>
      </c>
    </row>
    <row r="171" spans="1:15" x14ac:dyDescent="0.25">
      <c r="A171" s="2" t="s">
        <v>288</v>
      </c>
      <c r="B171" s="2" t="s">
        <v>289</v>
      </c>
      <c r="C171" s="45">
        <v>-231872.5</v>
      </c>
      <c r="D171" s="45">
        <v>-296956.57</v>
      </c>
      <c r="E171" s="45">
        <v>21.92</v>
      </c>
      <c r="F171" s="45">
        <v>78.08</v>
      </c>
      <c r="G171" s="45">
        <v>-65084.07</v>
      </c>
      <c r="I171" s="45">
        <v>-188417</v>
      </c>
      <c r="J171" s="45">
        <v>-23160</v>
      </c>
      <c r="K171" s="45">
        <v>-15900</v>
      </c>
      <c r="O171" s="45">
        <v>-4395.5</v>
      </c>
    </row>
    <row r="172" spans="1:15" x14ac:dyDescent="0.25">
      <c r="A172" s="2" t="s">
        <v>290</v>
      </c>
      <c r="B172" s="2" t="s">
        <v>291</v>
      </c>
      <c r="C172" s="45">
        <v>-6644.8</v>
      </c>
      <c r="D172" s="45">
        <v>-72000</v>
      </c>
      <c r="E172" s="45">
        <v>90.77</v>
      </c>
      <c r="F172" s="45">
        <v>9.23</v>
      </c>
      <c r="G172" s="45">
        <v>-65355.199999999997</v>
      </c>
      <c r="J172" s="45">
        <v>-2168</v>
      </c>
      <c r="L172" s="45">
        <v>-4476.8</v>
      </c>
    </row>
    <row r="173" spans="1:15" x14ac:dyDescent="0.25">
      <c r="A173" s="2" t="s">
        <v>292</v>
      </c>
      <c r="B173" s="2" t="s">
        <v>293</v>
      </c>
      <c r="C173" s="45">
        <v>-101017.71</v>
      </c>
      <c r="D173" s="45">
        <v>-270787.61</v>
      </c>
      <c r="E173" s="45">
        <v>62.69</v>
      </c>
      <c r="F173" s="45">
        <v>37.31</v>
      </c>
      <c r="G173" s="45">
        <v>-169769.9</v>
      </c>
      <c r="I173" s="45">
        <v>-20923.86</v>
      </c>
      <c r="J173" s="45">
        <v>-21328.62</v>
      </c>
      <c r="K173" s="45">
        <v>-2196.9699999999998</v>
      </c>
      <c r="L173" s="45">
        <v>-9378.86</v>
      </c>
      <c r="M173" s="45">
        <v>-10022.94</v>
      </c>
      <c r="N173" s="45">
        <v>-22784.799999999999</v>
      </c>
      <c r="O173" s="45">
        <v>-14381.66</v>
      </c>
    </row>
    <row r="174" spans="1:15" x14ac:dyDescent="0.25">
      <c r="A174" s="2" t="s">
        <v>294</v>
      </c>
      <c r="B174" s="2" t="s">
        <v>295</v>
      </c>
      <c r="C174" s="45">
        <v>-2147078.29</v>
      </c>
      <c r="D174" s="45">
        <v>-238558.88</v>
      </c>
      <c r="E174" s="45">
        <v>-800.02</v>
      </c>
      <c r="F174" s="45">
        <v>900.02</v>
      </c>
      <c r="G174" s="45">
        <v>1908519.41</v>
      </c>
      <c r="I174" s="45">
        <v>-1223402.74</v>
      </c>
      <c r="J174" s="45">
        <v>-529440.96</v>
      </c>
      <c r="K174" s="45">
        <v>-8700</v>
      </c>
      <c r="L174" s="45">
        <v>-201878.79</v>
      </c>
      <c r="M174" s="45">
        <v>-172655.8</v>
      </c>
      <c r="N174" s="45">
        <v>-11000</v>
      </c>
    </row>
    <row r="175" spans="1:15" x14ac:dyDescent="0.25">
      <c r="A175" s="2" t="s">
        <v>296</v>
      </c>
      <c r="B175" s="2" t="s">
        <v>297</v>
      </c>
      <c r="C175" s="45">
        <v>-21284.19</v>
      </c>
      <c r="D175" s="45">
        <v>-64200</v>
      </c>
      <c r="E175" s="45">
        <v>66.849999999999994</v>
      </c>
      <c r="F175" s="45">
        <v>33.15</v>
      </c>
      <c r="G175" s="45">
        <v>-42915.81</v>
      </c>
      <c r="I175" s="45">
        <v>-14822.72</v>
      </c>
      <c r="J175" s="45">
        <v>-2550.9299999999998</v>
      </c>
      <c r="K175" s="45">
        <v>-100</v>
      </c>
      <c r="L175" s="45">
        <v>-1022.35</v>
      </c>
      <c r="N175" s="45">
        <v>-378.75</v>
      </c>
      <c r="O175" s="45">
        <v>-2409.44</v>
      </c>
    </row>
    <row r="176" spans="1:15" x14ac:dyDescent="0.25">
      <c r="A176" s="2" t="s">
        <v>298</v>
      </c>
      <c r="B176" s="2" t="s">
        <v>299</v>
      </c>
      <c r="C176" s="45">
        <v>-510707.83</v>
      </c>
      <c r="D176" s="45">
        <v>-1222000</v>
      </c>
      <c r="E176" s="45">
        <v>58.21</v>
      </c>
      <c r="F176" s="45">
        <v>41.79</v>
      </c>
      <c r="G176" s="45">
        <v>-711292.17</v>
      </c>
      <c r="J176" s="45">
        <v>-254310.75</v>
      </c>
      <c r="K176" s="45">
        <v>-477.28</v>
      </c>
      <c r="L176" s="45">
        <v>-70381.399999999994</v>
      </c>
      <c r="M176" s="45">
        <v>-44968.45</v>
      </c>
      <c r="N176" s="45">
        <v>-92569.98</v>
      </c>
      <c r="O176" s="45">
        <v>-47999.97</v>
      </c>
    </row>
    <row r="177" spans="1:15" x14ac:dyDescent="0.25">
      <c r="A177" s="2" t="s">
        <v>300</v>
      </c>
      <c r="B177" s="2" t="s">
        <v>301</v>
      </c>
      <c r="C177" s="45">
        <v>-272512.19</v>
      </c>
      <c r="D177" s="45">
        <v>-96619</v>
      </c>
      <c r="E177" s="45">
        <v>-182.05</v>
      </c>
      <c r="F177" s="45">
        <v>282.05</v>
      </c>
      <c r="G177" s="45">
        <v>175893.19</v>
      </c>
      <c r="I177" s="45">
        <v>-234162.44</v>
      </c>
      <c r="J177" s="45">
        <v>-10157.959999999999</v>
      </c>
      <c r="K177" s="45">
        <v>-7000</v>
      </c>
      <c r="L177" s="45">
        <v>-12191.79</v>
      </c>
      <c r="N177" s="45">
        <v>-5706</v>
      </c>
      <c r="O177" s="45">
        <v>-3294</v>
      </c>
    </row>
    <row r="178" spans="1:15" x14ac:dyDescent="0.25">
      <c r="A178" s="2" t="s">
        <v>302</v>
      </c>
      <c r="B178" s="2" t="s">
        <v>303</v>
      </c>
      <c r="C178" s="45">
        <v>-21386.720000000001</v>
      </c>
      <c r="D178" s="45">
        <v>-68000</v>
      </c>
      <c r="E178" s="45">
        <v>68.55</v>
      </c>
      <c r="F178" s="45">
        <v>31.45</v>
      </c>
      <c r="G178" s="45">
        <v>-46613.279999999999</v>
      </c>
      <c r="I178" s="45">
        <v>-4956.78</v>
      </c>
      <c r="K178" s="45">
        <v>-551</v>
      </c>
      <c r="L178" s="45">
        <v>-1430</v>
      </c>
      <c r="M178" s="45">
        <v>-6084.94</v>
      </c>
      <c r="N178" s="45">
        <v>-1928</v>
      </c>
      <c r="O178" s="45">
        <v>-6436</v>
      </c>
    </row>
    <row r="179" spans="1:15" x14ac:dyDescent="0.25">
      <c r="A179" s="2" t="s">
        <v>304</v>
      </c>
      <c r="B179" s="2" t="s">
        <v>305</v>
      </c>
      <c r="D179" s="45">
        <v>-90000</v>
      </c>
      <c r="E179" s="45">
        <v>100</v>
      </c>
      <c r="G179" s="45">
        <v>-90000</v>
      </c>
    </row>
    <row r="180" spans="1:15" x14ac:dyDescent="0.25">
      <c r="A180" s="2" t="s">
        <v>306</v>
      </c>
      <c r="B180" s="2" t="s">
        <v>307</v>
      </c>
      <c r="C180" s="45">
        <v>-157927.48000000001</v>
      </c>
      <c r="D180" s="45">
        <v>-165000</v>
      </c>
      <c r="E180" s="45">
        <v>4.29</v>
      </c>
      <c r="F180" s="45">
        <v>95.71</v>
      </c>
      <c r="G180" s="45">
        <v>-7072.52</v>
      </c>
      <c r="J180" s="45">
        <v>-150272.9</v>
      </c>
      <c r="K180" s="45">
        <v>-2034</v>
      </c>
      <c r="L180" s="45">
        <v>-1664</v>
      </c>
      <c r="N180" s="45">
        <v>-3956.58</v>
      </c>
    </row>
    <row r="181" spans="1:15" x14ac:dyDescent="0.25">
      <c r="A181" s="2" t="s">
        <v>308</v>
      </c>
      <c r="B181" s="2" t="s">
        <v>309</v>
      </c>
      <c r="C181" s="45">
        <v>28225.93</v>
      </c>
      <c r="D181" s="45">
        <v>-960000</v>
      </c>
      <c r="E181" s="45">
        <v>102.94</v>
      </c>
      <c r="F181" s="45">
        <v>-2.94</v>
      </c>
      <c r="G181" s="45">
        <v>-988225.93</v>
      </c>
      <c r="I181" s="45">
        <v>-93885.75</v>
      </c>
      <c r="J181" s="45">
        <v>170263.85</v>
      </c>
      <c r="K181" s="45">
        <v>-6585.29</v>
      </c>
      <c r="L181" s="45">
        <v>-2728.7</v>
      </c>
      <c r="M181" s="45">
        <v>-400</v>
      </c>
      <c r="N181" s="45">
        <v>-23741.78</v>
      </c>
      <c r="O181" s="45">
        <v>-14696.4</v>
      </c>
    </row>
    <row r="182" spans="1:15" x14ac:dyDescent="0.25">
      <c r="A182" s="2" t="s">
        <v>310</v>
      </c>
      <c r="B182" s="2" t="s">
        <v>311</v>
      </c>
      <c r="C182" s="45">
        <v>-1902</v>
      </c>
      <c r="D182" s="45">
        <v>-5100</v>
      </c>
      <c r="E182" s="45">
        <v>62.71</v>
      </c>
      <c r="F182" s="45">
        <v>37.29</v>
      </c>
      <c r="G182" s="45">
        <v>-3198</v>
      </c>
      <c r="I182" s="45">
        <v>-1456</v>
      </c>
      <c r="L182" s="45">
        <v>-446</v>
      </c>
    </row>
    <row r="183" spans="1:15" x14ac:dyDescent="0.25">
      <c r="A183" s="2" t="s">
        <v>312</v>
      </c>
      <c r="B183" s="2" t="s">
        <v>313</v>
      </c>
      <c r="C183" s="45">
        <v>-122788.16</v>
      </c>
      <c r="D183" s="45">
        <v>-340000.02</v>
      </c>
      <c r="E183" s="45">
        <v>63.89</v>
      </c>
      <c r="F183" s="45">
        <v>36.11</v>
      </c>
      <c r="G183" s="45">
        <v>-217211.86</v>
      </c>
      <c r="I183" s="45">
        <v>-13339.32</v>
      </c>
      <c r="J183" s="45">
        <v>-82805.14</v>
      </c>
      <c r="L183" s="45">
        <v>-5244.8</v>
      </c>
      <c r="M183" s="45">
        <v>-5240.6099999999997</v>
      </c>
      <c r="N183" s="45">
        <v>-8552.7000000000007</v>
      </c>
      <c r="O183" s="45">
        <v>-7605.59</v>
      </c>
    </row>
    <row r="184" spans="1:15" x14ac:dyDescent="0.25">
      <c r="A184" s="2" t="s">
        <v>314</v>
      </c>
      <c r="B184" s="2" t="s">
        <v>315</v>
      </c>
      <c r="C184" s="45">
        <v>-53954.52</v>
      </c>
      <c r="D184" s="45">
        <v>-263500</v>
      </c>
      <c r="E184" s="45">
        <v>79.52</v>
      </c>
      <c r="F184" s="45">
        <v>20.48</v>
      </c>
      <c r="G184" s="45">
        <v>-209545.48</v>
      </c>
      <c r="I184" s="45">
        <v>-4500</v>
      </c>
      <c r="J184" s="45">
        <v>-5298.15</v>
      </c>
      <c r="K184" s="45">
        <v>-7055.98</v>
      </c>
      <c r="L184" s="45">
        <v>-2652.79</v>
      </c>
      <c r="M184" s="45">
        <v>-2394</v>
      </c>
      <c r="N184" s="45">
        <v>-11808.6</v>
      </c>
      <c r="O184" s="45">
        <v>-20245</v>
      </c>
    </row>
    <row r="185" spans="1:15" x14ac:dyDescent="0.25">
      <c r="A185" s="2" t="s">
        <v>316</v>
      </c>
      <c r="B185" s="2" t="s">
        <v>317</v>
      </c>
      <c r="C185" s="45">
        <v>-27715.03</v>
      </c>
      <c r="D185" s="45">
        <v>-117000</v>
      </c>
      <c r="E185" s="45">
        <v>76.31</v>
      </c>
      <c r="F185" s="45">
        <v>23.69</v>
      </c>
      <c r="G185" s="45">
        <v>-89284.97</v>
      </c>
      <c r="I185" s="45">
        <v>-2994.02</v>
      </c>
      <c r="J185" s="45">
        <v>-16332.57</v>
      </c>
      <c r="L185" s="45">
        <v>-2730.87</v>
      </c>
      <c r="M185" s="45">
        <v>-1818.3</v>
      </c>
      <c r="N185" s="45">
        <v>-2351.9499999999998</v>
      </c>
      <c r="O185" s="45">
        <v>-1487.32</v>
      </c>
    </row>
    <row r="186" spans="1:15" x14ac:dyDescent="0.25">
      <c r="A186" s="2" t="s">
        <v>318</v>
      </c>
      <c r="B186" s="2" t="s">
        <v>319</v>
      </c>
      <c r="C186" s="45">
        <v>-123297.54</v>
      </c>
      <c r="D186" s="45">
        <v>-1190688</v>
      </c>
      <c r="E186" s="45">
        <v>89.64</v>
      </c>
      <c r="F186" s="45">
        <v>10.36</v>
      </c>
      <c r="G186" s="45">
        <v>-1067390.46</v>
      </c>
      <c r="I186" s="45">
        <v>-25909.27</v>
      </c>
      <c r="J186" s="45">
        <v>-43980.28</v>
      </c>
      <c r="K186" s="45">
        <v>-8514.9500000000007</v>
      </c>
      <c r="L186" s="45">
        <v>-3856.92</v>
      </c>
      <c r="M186" s="45">
        <v>-767.9</v>
      </c>
      <c r="N186" s="45">
        <v>-33866.629999999997</v>
      </c>
      <c r="O186" s="45">
        <v>-6401.59</v>
      </c>
    </row>
    <row r="187" spans="1:15" x14ac:dyDescent="0.25">
      <c r="A187" s="2" t="s">
        <v>320</v>
      </c>
      <c r="B187" s="2" t="s">
        <v>321</v>
      </c>
      <c r="C187" s="45">
        <v>-32538.06</v>
      </c>
      <c r="D187" s="45">
        <v>-271999.99</v>
      </c>
      <c r="E187" s="45">
        <v>88.04</v>
      </c>
      <c r="F187" s="45">
        <v>11.96</v>
      </c>
      <c r="G187" s="45">
        <v>-239461.93</v>
      </c>
      <c r="I187" s="45">
        <v>-141.96</v>
      </c>
      <c r="J187" s="45">
        <v>-17052.78</v>
      </c>
      <c r="K187" s="45">
        <v>-172</v>
      </c>
      <c r="L187" s="45">
        <v>-1213.5999999999999</v>
      </c>
      <c r="M187" s="45">
        <v>-9669.67</v>
      </c>
      <c r="N187" s="45">
        <v>-345.08</v>
      </c>
      <c r="O187" s="45">
        <v>-3942.97</v>
      </c>
    </row>
    <row r="188" spans="1:15" x14ac:dyDescent="0.25">
      <c r="A188" s="2" t="s">
        <v>322</v>
      </c>
      <c r="B188" s="2" t="s">
        <v>323</v>
      </c>
      <c r="C188" s="45">
        <v>-1183182.6100000001</v>
      </c>
      <c r="D188" s="45">
        <v>-4683700</v>
      </c>
      <c r="E188" s="45">
        <v>74.739999999999995</v>
      </c>
      <c r="F188" s="45">
        <v>25.26</v>
      </c>
      <c r="G188" s="45">
        <v>-3500517.39</v>
      </c>
      <c r="J188" s="45">
        <v>-575152.30000000005</v>
      </c>
      <c r="K188" s="45">
        <v>-278901.64</v>
      </c>
      <c r="L188" s="45">
        <v>-56824.47</v>
      </c>
      <c r="M188" s="45">
        <v>-52390.1</v>
      </c>
      <c r="N188" s="45">
        <v>-111838.85</v>
      </c>
      <c r="O188" s="45">
        <v>-108075.25</v>
      </c>
    </row>
    <row r="189" spans="1:15" x14ac:dyDescent="0.25">
      <c r="A189" s="2" t="s">
        <v>324</v>
      </c>
      <c r="B189" s="2" t="s">
        <v>325</v>
      </c>
      <c r="C189" s="45">
        <v>-7842</v>
      </c>
      <c r="G189" s="45">
        <v>7842</v>
      </c>
      <c r="J189" s="45">
        <v>-6960</v>
      </c>
      <c r="N189" s="45">
        <v>-882</v>
      </c>
    </row>
    <row r="190" spans="1:15" x14ac:dyDescent="0.25">
      <c r="A190" s="2" t="s">
        <v>326</v>
      </c>
      <c r="B190" s="2" t="s">
        <v>327</v>
      </c>
      <c r="C190" s="45">
        <v>-98589.34</v>
      </c>
      <c r="D190" s="45">
        <v>-140000</v>
      </c>
      <c r="E190" s="45">
        <v>29.58</v>
      </c>
      <c r="F190" s="45">
        <v>70.42</v>
      </c>
      <c r="G190" s="45">
        <v>-41410.660000000003</v>
      </c>
      <c r="J190" s="45">
        <v>-3053</v>
      </c>
      <c r="L190" s="45">
        <v>-94559.34</v>
      </c>
      <c r="N190" s="45">
        <v>-977</v>
      </c>
    </row>
    <row r="191" spans="1:15" x14ac:dyDescent="0.25">
      <c r="A191" s="2" t="s">
        <v>328</v>
      </c>
      <c r="B191" s="2" t="s">
        <v>329</v>
      </c>
      <c r="D191" s="45">
        <v>-674000</v>
      </c>
      <c r="E191" s="45">
        <v>100</v>
      </c>
      <c r="G191" s="45">
        <v>-674000</v>
      </c>
    </row>
    <row r="192" spans="1:15" x14ac:dyDescent="0.25">
      <c r="A192" s="2" t="s">
        <v>330</v>
      </c>
      <c r="B192" s="2" t="s">
        <v>331</v>
      </c>
      <c r="C192" s="45">
        <v>-149461.17000000001</v>
      </c>
      <c r="D192" s="45">
        <v>-570218</v>
      </c>
      <c r="E192" s="45">
        <v>73.790000000000006</v>
      </c>
      <c r="F192" s="45">
        <v>26.21</v>
      </c>
      <c r="G192" s="45">
        <v>-420756.83</v>
      </c>
      <c r="J192" s="45">
        <v>-22220.15</v>
      </c>
      <c r="K192" s="45">
        <v>-87632.4</v>
      </c>
      <c r="M192" s="45">
        <v>-470.73</v>
      </c>
      <c r="N192" s="45">
        <v>-27628.67</v>
      </c>
      <c r="O192" s="45">
        <v>-11509.22</v>
      </c>
    </row>
    <row r="193" spans="1:16" x14ac:dyDescent="0.25">
      <c r="A193" s="2" t="s">
        <v>332</v>
      </c>
      <c r="B193" s="2" t="s">
        <v>333</v>
      </c>
    </row>
    <row r="194" spans="1:16" x14ac:dyDescent="0.25">
      <c r="A194" s="2" t="s">
        <v>334</v>
      </c>
      <c r="B194" s="2" t="s">
        <v>335</v>
      </c>
      <c r="C194" s="45">
        <v>-1.62</v>
      </c>
      <c r="D194" s="45">
        <v>22.49</v>
      </c>
      <c r="E194" s="45">
        <v>107.2</v>
      </c>
      <c r="F194" s="45">
        <v>-7.2</v>
      </c>
      <c r="G194" s="45">
        <v>24.11</v>
      </c>
      <c r="I194" s="45">
        <v>-1.62</v>
      </c>
    </row>
    <row r="195" spans="1:16" x14ac:dyDescent="0.25">
      <c r="A195" s="2" t="s">
        <v>336</v>
      </c>
      <c r="B195" s="2" t="s">
        <v>337</v>
      </c>
    </row>
    <row r="196" spans="1:16" x14ac:dyDescent="0.25">
      <c r="A196" s="2" t="s">
        <v>338</v>
      </c>
      <c r="B196" s="2" t="s">
        <v>339</v>
      </c>
    </row>
    <row r="197" spans="1:16" x14ac:dyDescent="0.25">
      <c r="A197" s="3" t="s">
        <v>340</v>
      </c>
      <c r="B197" s="3" t="s">
        <v>341</v>
      </c>
      <c r="C197" s="46">
        <v>-9145002.5</v>
      </c>
      <c r="D197" s="46">
        <v>-30277905.449999999</v>
      </c>
      <c r="E197" s="46">
        <v>69.8</v>
      </c>
      <c r="F197" s="46">
        <v>30.2</v>
      </c>
      <c r="G197" s="46">
        <v>-21132902.949999999</v>
      </c>
      <c r="I197" s="46">
        <v>454043.64</v>
      </c>
      <c r="J197" s="46">
        <v>-3975625.61</v>
      </c>
      <c r="K197" s="46">
        <v>-679426.49</v>
      </c>
      <c r="L197" s="46">
        <v>-1279994.8799999999</v>
      </c>
      <c r="M197" s="46">
        <v>-1000312</v>
      </c>
      <c r="N197" s="46">
        <v>-1208243.96</v>
      </c>
      <c r="O197" s="46">
        <v>-1455443.2</v>
      </c>
      <c r="P197" s="46"/>
    </row>
    <row r="198" spans="1:16" x14ac:dyDescent="0.25">
      <c r="A198" s="2" t="s">
        <v>12</v>
      </c>
      <c r="B198" s="2" t="s">
        <v>12</v>
      </c>
    </row>
    <row r="199" spans="1:16" x14ac:dyDescent="0.25">
      <c r="A199" s="3" t="s">
        <v>342</v>
      </c>
      <c r="B199" s="3" t="s">
        <v>343</v>
      </c>
      <c r="C199" s="46"/>
      <c r="D199" s="46"/>
      <c r="E199" s="46"/>
      <c r="F199" s="46"/>
      <c r="G199" s="46"/>
      <c r="I199" s="46"/>
      <c r="J199" s="46"/>
      <c r="K199" s="46"/>
      <c r="L199" s="46"/>
      <c r="M199" s="46"/>
      <c r="N199" s="46"/>
      <c r="O199" s="46"/>
      <c r="P199" s="46"/>
    </row>
    <row r="200" spans="1:16" x14ac:dyDescent="0.25">
      <c r="A200" s="2" t="s">
        <v>344</v>
      </c>
      <c r="B200" s="2" t="s">
        <v>345</v>
      </c>
    </row>
    <row r="201" spans="1:16" x14ac:dyDescent="0.25">
      <c r="A201" s="2" t="s">
        <v>346</v>
      </c>
      <c r="B201" s="2" t="s">
        <v>347</v>
      </c>
    </row>
    <row r="202" spans="1:16" x14ac:dyDescent="0.25">
      <c r="A202" s="2" t="s">
        <v>348</v>
      </c>
      <c r="B202" s="2" t="s">
        <v>349</v>
      </c>
      <c r="D202" s="45">
        <v>42000</v>
      </c>
      <c r="E202" s="45">
        <v>100</v>
      </c>
      <c r="G202" s="45">
        <v>42000</v>
      </c>
    </row>
    <row r="203" spans="1:16" x14ac:dyDescent="0.25">
      <c r="A203" s="2" t="s">
        <v>350</v>
      </c>
      <c r="B203" s="2" t="s">
        <v>351</v>
      </c>
    </row>
    <row r="204" spans="1:16" x14ac:dyDescent="0.25">
      <c r="A204" s="2" t="s">
        <v>352</v>
      </c>
      <c r="B204" s="2" t="s">
        <v>353</v>
      </c>
    </row>
    <row r="205" spans="1:16" x14ac:dyDescent="0.25">
      <c r="A205" s="2" t="s">
        <v>354</v>
      </c>
      <c r="B205" s="2" t="s">
        <v>355</v>
      </c>
      <c r="C205" s="45">
        <v>-1246.72</v>
      </c>
      <c r="G205" s="45">
        <v>1246.72</v>
      </c>
      <c r="I205" s="45">
        <v>418.28</v>
      </c>
      <c r="J205" s="45">
        <v>-1665</v>
      </c>
    </row>
    <row r="206" spans="1:16" x14ac:dyDescent="0.25">
      <c r="A206" s="2" t="s">
        <v>356</v>
      </c>
      <c r="B206" s="2" t="s">
        <v>357</v>
      </c>
    </row>
    <row r="207" spans="1:16" x14ac:dyDescent="0.25">
      <c r="A207" s="2" t="s">
        <v>358</v>
      </c>
      <c r="B207" s="2" t="s">
        <v>359</v>
      </c>
    </row>
    <row r="208" spans="1:16" x14ac:dyDescent="0.25">
      <c r="A208" s="3" t="s">
        <v>360</v>
      </c>
      <c r="B208" s="3" t="s">
        <v>361</v>
      </c>
      <c r="C208" s="46">
        <v>-1246.72</v>
      </c>
      <c r="D208" s="46">
        <v>42000</v>
      </c>
      <c r="E208" s="46">
        <v>102.97</v>
      </c>
      <c r="F208" s="46">
        <v>-2.97</v>
      </c>
      <c r="G208" s="46">
        <v>43246.720000000001</v>
      </c>
      <c r="I208" s="46">
        <v>418.28</v>
      </c>
      <c r="J208" s="46">
        <v>-1665</v>
      </c>
      <c r="K208" s="46"/>
      <c r="L208" s="46"/>
      <c r="M208" s="46"/>
      <c r="N208" s="46"/>
      <c r="O208" s="46"/>
      <c r="P208" s="46"/>
    </row>
    <row r="209" spans="1:16" x14ac:dyDescent="0.25">
      <c r="A209" s="2" t="s">
        <v>12</v>
      </c>
      <c r="B209" s="2" t="s">
        <v>12</v>
      </c>
    </row>
    <row r="210" spans="1:16" x14ac:dyDescent="0.25">
      <c r="A210" s="3" t="s">
        <v>362</v>
      </c>
      <c r="B210" s="3" t="s">
        <v>40</v>
      </c>
      <c r="C210" s="46"/>
      <c r="D210" s="46"/>
      <c r="E210" s="46"/>
      <c r="F210" s="46"/>
      <c r="G210" s="46"/>
      <c r="I210" s="46"/>
      <c r="J210" s="46"/>
      <c r="K210" s="46"/>
      <c r="L210" s="46"/>
      <c r="M210" s="46"/>
      <c r="N210" s="46"/>
      <c r="O210" s="46"/>
      <c r="P210" s="46"/>
    </row>
    <row r="211" spans="1:16" x14ac:dyDescent="0.25">
      <c r="A211" s="2" t="s">
        <v>363</v>
      </c>
      <c r="B211" s="2" t="s">
        <v>364</v>
      </c>
      <c r="D211" s="45">
        <v>-245.74</v>
      </c>
      <c r="E211" s="45">
        <v>100</v>
      </c>
      <c r="G211" s="45">
        <v>-245.74</v>
      </c>
    </row>
    <row r="212" spans="1:16" x14ac:dyDescent="0.25">
      <c r="A212" s="2" t="s">
        <v>365</v>
      </c>
      <c r="B212" s="2" t="s">
        <v>366</v>
      </c>
      <c r="C212" s="45">
        <v>-120582.87</v>
      </c>
      <c r="D212" s="45">
        <v>-456010</v>
      </c>
      <c r="E212" s="45">
        <v>73.56</v>
      </c>
      <c r="F212" s="45">
        <v>26.44</v>
      </c>
      <c r="G212" s="45">
        <v>-335427.13</v>
      </c>
      <c r="N212" s="45">
        <v>-7383.48</v>
      </c>
      <c r="O212" s="45">
        <v>-113199.39</v>
      </c>
    </row>
    <row r="213" spans="1:16" x14ac:dyDescent="0.25">
      <c r="A213" s="2" t="s">
        <v>367</v>
      </c>
      <c r="B213" s="2" t="s">
        <v>368</v>
      </c>
      <c r="C213" s="45">
        <v>-3697.24</v>
      </c>
      <c r="G213" s="45">
        <v>3697.24</v>
      </c>
      <c r="I213" s="45">
        <v>-3632.24</v>
      </c>
      <c r="O213" s="45">
        <v>-65</v>
      </c>
    </row>
    <row r="214" spans="1:16" x14ac:dyDescent="0.25">
      <c r="A214" s="2" t="s">
        <v>369</v>
      </c>
      <c r="B214" s="2" t="s">
        <v>370</v>
      </c>
      <c r="C214" s="45">
        <v>-7016.51</v>
      </c>
      <c r="D214" s="45">
        <v>-7227.84</v>
      </c>
      <c r="E214" s="45">
        <v>2.92</v>
      </c>
      <c r="F214" s="45">
        <v>97.08</v>
      </c>
      <c r="G214" s="45">
        <v>-211.33</v>
      </c>
      <c r="I214" s="45">
        <v>-100.54</v>
      </c>
      <c r="J214" s="45">
        <v>-2563.59</v>
      </c>
      <c r="K214" s="45">
        <v>-973.49</v>
      </c>
      <c r="L214" s="45">
        <v>-1626.3</v>
      </c>
      <c r="M214" s="45">
        <v>-313.33</v>
      </c>
      <c r="N214" s="45">
        <v>-588.23</v>
      </c>
      <c r="O214" s="45">
        <v>-851.03</v>
      </c>
    </row>
    <row r="215" spans="1:16" x14ac:dyDescent="0.25">
      <c r="A215" s="2" t="s">
        <v>371</v>
      </c>
      <c r="B215" s="2" t="s">
        <v>372</v>
      </c>
    </row>
    <row r="216" spans="1:16" x14ac:dyDescent="0.25">
      <c r="A216" s="2" t="s">
        <v>373</v>
      </c>
      <c r="B216" s="2" t="s">
        <v>374</v>
      </c>
    </row>
    <row r="217" spans="1:16" x14ac:dyDescent="0.25">
      <c r="A217" s="2" t="s">
        <v>375</v>
      </c>
      <c r="B217" s="2" t="s">
        <v>376</v>
      </c>
      <c r="C217" s="45">
        <v>-307.70999999999998</v>
      </c>
      <c r="G217" s="45">
        <v>307.70999999999998</v>
      </c>
      <c r="L217" s="45">
        <v>-307.70999999999998</v>
      </c>
    </row>
    <row r="218" spans="1:16" x14ac:dyDescent="0.25">
      <c r="A218" s="3" t="s">
        <v>377</v>
      </c>
      <c r="B218" s="3" t="s">
        <v>378</v>
      </c>
      <c r="C218" s="46">
        <v>-131604.32999999999</v>
      </c>
      <c r="D218" s="46">
        <v>-463483.58</v>
      </c>
      <c r="E218" s="46">
        <v>71.61</v>
      </c>
      <c r="F218" s="46">
        <v>28.39</v>
      </c>
      <c r="G218" s="46">
        <v>-331879.25</v>
      </c>
      <c r="I218" s="46">
        <v>-3732.78</v>
      </c>
      <c r="J218" s="46">
        <v>-2563.59</v>
      </c>
      <c r="K218" s="46">
        <v>-973.49</v>
      </c>
      <c r="L218" s="46">
        <v>-1934.01</v>
      </c>
      <c r="M218" s="46">
        <v>-313.33</v>
      </c>
      <c r="N218" s="46">
        <v>-7971.71</v>
      </c>
      <c r="O218" s="46">
        <v>-114115.42</v>
      </c>
      <c r="P218" s="46"/>
    </row>
    <row r="219" spans="1:16" x14ac:dyDescent="0.25">
      <c r="A219" s="2" t="s">
        <v>12</v>
      </c>
      <c r="B219" s="2" t="s">
        <v>12</v>
      </c>
    </row>
    <row r="220" spans="1:16" x14ac:dyDescent="0.25">
      <c r="A220" s="3" t="s">
        <v>379</v>
      </c>
      <c r="B220" s="3" t="s">
        <v>380</v>
      </c>
      <c r="C220" s="46"/>
      <c r="D220" s="46"/>
      <c r="E220" s="46"/>
      <c r="F220" s="46"/>
      <c r="G220" s="46"/>
      <c r="I220" s="46"/>
      <c r="J220" s="46"/>
      <c r="K220" s="46"/>
      <c r="L220" s="46"/>
      <c r="M220" s="46"/>
      <c r="N220" s="46"/>
      <c r="O220" s="46"/>
      <c r="P220" s="46"/>
    </row>
    <row r="221" spans="1:16" x14ac:dyDescent="0.25">
      <c r="A221" s="2" t="s">
        <v>381</v>
      </c>
      <c r="B221" s="2" t="s">
        <v>380</v>
      </c>
    </row>
    <row r="222" spans="1:16" x14ac:dyDescent="0.25">
      <c r="A222" s="3" t="s">
        <v>382</v>
      </c>
      <c r="B222" s="3" t="s">
        <v>383</v>
      </c>
      <c r="C222" s="46"/>
      <c r="D222" s="46"/>
      <c r="E222" s="46"/>
      <c r="F222" s="46"/>
      <c r="G222" s="46"/>
      <c r="I222" s="46"/>
      <c r="J222" s="46"/>
      <c r="K222" s="46"/>
      <c r="L222" s="46"/>
      <c r="M222" s="46"/>
      <c r="N222" s="46"/>
      <c r="O222" s="46"/>
      <c r="P222" s="46"/>
    </row>
    <row r="223" spans="1:16" x14ac:dyDescent="0.25">
      <c r="A223" s="2" t="s">
        <v>12</v>
      </c>
      <c r="B223" s="2" t="s">
        <v>12</v>
      </c>
    </row>
    <row r="224" spans="1:16" x14ac:dyDescent="0.25">
      <c r="A224" s="3" t="s">
        <v>384</v>
      </c>
      <c r="B224" s="3" t="s">
        <v>385</v>
      </c>
      <c r="C224" s="46"/>
      <c r="D224" s="46"/>
      <c r="E224" s="46"/>
      <c r="F224" s="46"/>
      <c r="G224" s="46"/>
      <c r="I224" s="46"/>
      <c r="J224" s="46"/>
      <c r="K224" s="46"/>
      <c r="L224" s="46"/>
      <c r="M224" s="46"/>
      <c r="N224" s="46"/>
      <c r="O224" s="46"/>
      <c r="P224" s="46"/>
    </row>
    <row r="225" spans="1:16" x14ac:dyDescent="0.25">
      <c r="A225" s="2" t="s">
        <v>386</v>
      </c>
      <c r="B225" s="2" t="s">
        <v>385</v>
      </c>
    </row>
    <row r="226" spans="1:16" x14ac:dyDescent="0.25">
      <c r="A226" s="3" t="s">
        <v>387</v>
      </c>
      <c r="B226" s="3" t="s">
        <v>388</v>
      </c>
      <c r="C226" s="46"/>
      <c r="D226" s="46"/>
      <c r="E226" s="46"/>
      <c r="F226" s="46"/>
      <c r="G226" s="46"/>
      <c r="I226" s="46"/>
      <c r="J226" s="46"/>
      <c r="K226" s="46"/>
      <c r="L226" s="46"/>
      <c r="M226" s="46"/>
      <c r="N226" s="46"/>
      <c r="O226" s="46"/>
      <c r="P226" s="46"/>
    </row>
    <row r="227" spans="1:16" x14ac:dyDescent="0.25">
      <c r="A227" s="2" t="s">
        <v>12</v>
      </c>
      <c r="B227" s="2" t="s">
        <v>12</v>
      </c>
    </row>
    <row r="228" spans="1:16" ht="15.75" thickBot="1" x14ac:dyDescent="0.3">
      <c r="A228" s="4" t="s">
        <v>389</v>
      </c>
      <c r="B228" s="4" t="s">
        <v>390</v>
      </c>
      <c r="C228" s="47">
        <v>8635017.6400000006</v>
      </c>
      <c r="D228" s="47">
        <v>-1120486.18</v>
      </c>
      <c r="E228" s="47">
        <v>870.65</v>
      </c>
      <c r="F228" s="47">
        <v>-770.65</v>
      </c>
      <c r="G228" s="47">
        <v>-9755503.8200000003</v>
      </c>
      <c r="I228" s="47"/>
      <c r="J228" s="47">
        <v>-894949.66</v>
      </c>
      <c r="K228" s="47">
        <v>1171714.77</v>
      </c>
      <c r="L228" s="47">
        <v>-53620.7</v>
      </c>
      <c r="M228" s="47">
        <v>808762.11</v>
      </c>
      <c r="N228" s="47">
        <v>-1322399.23</v>
      </c>
      <c r="O228" s="47">
        <v>-1861608.81</v>
      </c>
      <c r="P228" s="47">
        <v>10787119.16</v>
      </c>
    </row>
    <row r="229" spans="1:16" ht="15.75" thickTop="1" x14ac:dyDescent="0.25">
      <c r="A229" s="2" t="s">
        <v>12</v>
      </c>
      <c r="B229" s="2" t="s">
        <v>12</v>
      </c>
    </row>
    <row r="230" spans="1:16" x14ac:dyDescent="0.25">
      <c r="A230" s="3" t="s">
        <v>391</v>
      </c>
      <c r="B230" s="3" t="s">
        <v>392</v>
      </c>
      <c r="C230" s="46"/>
      <c r="D230" s="46"/>
      <c r="E230" s="46"/>
      <c r="F230" s="46"/>
      <c r="G230" s="46"/>
      <c r="I230" s="46"/>
      <c r="J230" s="46"/>
      <c r="K230" s="46"/>
      <c r="L230" s="46"/>
      <c r="M230" s="46"/>
      <c r="N230" s="46"/>
      <c r="O230" s="46"/>
      <c r="P230" s="46"/>
    </row>
    <row r="231" spans="1:16" x14ac:dyDescent="0.25">
      <c r="A231" s="2" t="s">
        <v>393</v>
      </c>
      <c r="B231" s="2" t="s">
        <v>394</v>
      </c>
    </row>
    <row r="232" spans="1:16" x14ac:dyDescent="0.25">
      <c r="A232" s="2" t="s">
        <v>395</v>
      </c>
      <c r="B232" s="2" t="s">
        <v>396</v>
      </c>
    </row>
    <row r="233" spans="1:16" x14ac:dyDescent="0.25">
      <c r="A233" s="2" t="s">
        <v>397</v>
      </c>
      <c r="B233" s="2" t="s">
        <v>398</v>
      </c>
    </row>
    <row r="234" spans="1:16" x14ac:dyDescent="0.25">
      <c r="A234" s="3" t="s">
        <v>399</v>
      </c>
      <c r="B234" s="3" t="s">
        <v>400</v>
      </c>
      <c r="C234" s="46"/>
      <c r="D234" s="46"/>
      <c r="E234" s="46"/>
      <c r="F234" s="46"/>
      <c r="G234" s="46"/>
      <c r="I234" s="46"/>
      <c r="J234" s="46"/>
      <c r="K234" s="46"/>
      <c r="L234" s="46"/>
      <c r="M234" s="46"/>
      <c r="N234" s="46"/>
      <c r="O234" s="46"/>
      <c r="P234" s="46"/>
    </row>
    <row r="235" spans="1:16" x14ac:dyDescent="0.25">
      <c r="A235" s="2" t="s">
        <v>12</v>
      </c>
      <c r="B235" s="2" t="s">
        <v>12</v>
      </c>
    </row>
    <row r="236" spans="1:16" ht="15.75" thickBot="1" x14ac:dyDescent="0.3">
      <c r="A236" s="4" t="s">
        <v>12</v>
      </c>
      <c r="B236" s="4" t="s">
        <v>46</v>
      </c>
      <c r="C236" s="47">
        <v>8635017.6400000006</v>
      </c>
      <c r="D236" s="47">
        <v>-1120486.18</v>
      </c>
      <c r="E236" s="47">
        <v>870.65</v>
      </c>
      <c r="F236" s="47">
        <v>-770.65</v>
      </c>
      <c r="G236" s="47">
        <v>-9755503.8200000003</v>
      </c>
      <c r="I236" s="47"/>
      <c r="J236" s="47">
        <v>-894949.66</v>
      </c>
      <c r="K236" s="47">
        <v>1171714.77</v>
      </c>
      <c r="L236" s="47">
        <v>-53620.7</v>
      </c>
      <c r="M236" s="47">
        <v>808762.11</v>
      </c>
      <c r="N236" s="47">
        <v>-1322399.23</v>
      </c>
      <c r="O236" s="47">
        <v>-1861608.81</v>
      </c>
      <c r="P236" s="47">
        <v>10787119.16</v>
      </c>
    </row>
    <row r="237" spans="1:16" ht="15.75" thickTop="1" x14ac:dyDescent="0.25">
      <c r="A237" s="2" t="s">
        <v>12</v>
      </c>
      <c r="B237" s="2" t="s">
        <v>12</v>
      </c>
    </row>
    <row r="238" spans="1:16" x14ac:dyDescent="0.25">
      <c r="A238" s="2" t="s">
        <v>401</v>
      </c>
      <c r="B238" s="2" t="s">
        <v>402</v>
      </c>
    </row>
    <row r="239" spans="1:16" x14ac:dyDescent="0.25">
      <c r="A239" s="2" t="s">
        <v>403</v>
      </c>
      <c r="B239" s="2" t="s">
        <v>404</v>
      </c>
      <c r="C239" s="45">
        <v>85929.24</v>
      </c>
      <c r="G239" s="45">
        <v>-85929.24</v>
      </c>
      <c r="O239" s="45">
        <v>85929.24</v>
      </c>
    </row>
    <row r="240" spans="1:16" x14ac:dyDescent="0.25">
      <c r="A240" s="2" t="s">
        <v>405</v>
      </c>
      <c r="B240" s="2" t="s">
        <v>406</v>
      </c>
      <c r="C240" s="45">
        <v>-1619347.55</v>
      </c>
      <c r="D240" s="45">
        <v>-3644077.35</v>
      </c>
      <c r="E240" s="45">
        <v>55.56</v>
      </c>
      <c r="F240" s="45">
        <v>44.44</v>
      </c>
      <c r="G240" s="45">
        <v>-2024729.8</v>
      </c>
      <c r="J240" s="45">
        <v>-622020.93999999994</v>
      </c>
      <c r="K240" s="45">
        <v>-10768.2</v>
      </c>
      <c r="L240" s="45">
        <v>-206904.92</v>
      </c>
      <c r="M240" s="45">
        <v>-71340.66</v>
      </c>
      <c r="N240" s="45">
        <v>-246196.6</v>
      </c>
      <c r="O240" s="45">
        <v>-462116.23</v>
      </c>
    </row>
    <row r="241" spans="1:16" x14ac:dyDescent="0.25">
      <c r="A241" s="2" t="s">
        <v>407</v>
      </c>
      <c r="B241" s="2" t="s">
        <v>408</v>
      </c>
    </row>
    <row r="242" spans="1:16" x14ac:dyDescent="0.25">
      <c r="A242" s="3" t="s">
        <v>409</v>
      </c>
      <c r="B242" s="3" t="s">
        <v>410</v>
      </c>
      <c r="C242" s="46">
        <v>-1533418.31</v>
      </c>
      <c r="D242" s="46">
        <v>-3644077.35</v>
      </c>
      <c r="E242" s="46">
        <v>57.92</v>
      </c>
      <c r="F242" s="46">
        <v>42.08</v>
      </c>
      <c r="G242" s="46">
        <v>-2110659.04</v>
      </c>
      <c r="I242" s="46"/>
      <c r="J242" s="46">
        <v>-622020.93999999994</v>
      </c>
      <c r="K242" s="46">
        <v>-10768.2</v>
      </c>
      <c r="L242" s="46">
        <v>-206904.92</v>
      </c>
      <c r="M242" s="46">
        <v>-71340.66</v>
      </c>
      <c r="N242" s="46">
        <v>-246196.6</v>
      </c>
      <c r="O242" s="46">
        <v>-376186.99</v>
      </c>
      <c r="P242" s="46"/>
    </row>
    <row r="243" spans="1:16" x14ac:dyDescent="0.25">
      <c r="A243" s="2" t="s">
        <v>12</v>
      </c>
      <c r="B243" s="2" t="s">
        <v>12</v>
      </c>
    </row>
    <row r="244" spans="1:16" ht="15.75" thickBot="1" x14ac:dyDescent="0.3">
      <c r="A244" s="4" t="s">
        <v>411</v>
      </c>
      <c r="B244" s="4" t="s">
        <v>49</v>
      </c>
      <c r="C244" s="47">
        <v>7101599.3300000001</v>
      </c>
      <c r="D244" s="47">
        <v>-4764563.53</v>
      </c>
      <c r="E244" s="47">
        <v>249.05</v>
      </c>
      <c r="F244" s="47">
        <v>-149.05000000000001</v>
      </c>
      <c r="G244" s="47">
        <v>-11866162.859999999</v>
      </c>
      <c r="I244" s="47"/>
      <c r="J244" s="47">
        <v>-1516970.6</v>
      </c>
      <c r="K244" s="47">
        <v>1160946.57</v>
      </c>
      <c r="L244" s="47">
        <v>-260525.62</v>
      </c>
      <c r="M244" s="47">
        <v>737421.45</v>
      </c>
      <c r="N244" s="47">
        <v>-1568595.83</v>
      </c>
      <c r="O244" s="47">
        <v>-2237795.7999999998</v>
      </c>
      <c r="P244" s="47">
        <v>10787119.16</v>
      </c>
    </row>
    <row r="245" spans="1:16" ht="15.75" thickTop="1" x14ac:dyDescent="0.25"/>
  </sheetData>
  <sheetProtection algorithmName="SHA-512" hashValue="c8CfYY1E9jVE2Ecn8zk0TvKObviyzZ/TSjXuDANvClWJ6A2teIMDCMN0aSevLWl23/6yUOGw9GT0LC17g0yLMQ==" saltValue="n3lqr1+PGzb8qG+X/xlMKw==" spinCount="100000" sheet="1"/>
  <pageMargins left="0.7" right="0.7" top="0.75" bottom="0.75" header="0.3" footer="0.3"/>
  <pageSetup orientation="landscape"/>
  <headerFooter>
    <oddHeader>&amp;BOpfølgningsbudgetter&amp;B
36616_FGU_Odense_mfl</oddHeader>
    <evenHeader>&amp;D
PROD\B059726
Side &amp;P</even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245"/>
  <sheetViews>
    <sheetView topLeftCell="A129" workbookViewId="0">
      <selection activeCell="A146" sqref="A146"/>
    </sheetView>
  </sheetViews>
  <sheetFormatPr defaultRowHeight="15" x14ac:dyDescent="0.25"/>
  <cols>
    <col min="1" max="1" width="17.7109375" style="40" bestFit="1" customWidth="1"/>
    <col min="2" max="2" width="48.7109375" style="40" bestFit="1" customWidth="1"/>
    <col min="3" max="4" width="14.28515625" style="45" bestFit="1" customWidth="1"/>
    <col min="5" max="5" width="11.7109375" style="45" bestFit="1" customWidth="1"/>
    <col min="6" max="6" width="20.85546875" style="45" bestFit="1" customWidth="1"/>
    <col min="7" max="7" width="14.28515625" style="45" bestFit="1" customWidth="1"/>
    <col min="8" max="8" width="14.28515625" style="40" bestFit="1" customWidth="1"/>
    <col min="10" max="10" width="9.140625" style="40"/>
    <col min="11" max="18" width="14.28515625" style="53" bestFit="1" customWidth="1"/>
  </cols>
  <sheetData>
    <row r="1" spans="1:18" x14ac:dyDescent="0.25">
      <c r="A1" s="41" t="s">
        <v>0</v>
      </c>
      <c r="H1" s="48"/>
      <c r="K1" s="52"/>
      <c r="L1" s="52"/>
      <c r="M1" s="52"/>
      <c r="N1" s="52"/>
      <c r="O1" s="52"/>
      <c r="P1" s="52"/>
      <c r="Q1" s="52"/>
      <c r="R1" s="52"/>
    </row>
    <row r="2" spans="1:18" x14ac:dyDescent="0.25">
      <c r="A2" s="42" t="s">
        <v>1</v>
      </c>
      <c r="B2" s="42" t="s">
        <v>2</v>
      </c>
      <c r="H2" s="48"/>
      <c r="K2" s="52"/>
      <c r="L2" s="52"/>
      <c r="M2" s="52"/>
      <c r="N2" s="52"/>
      <c r="O2" s="52"/>
      <c r="P2" s="52"/>
      <c r="Q2" s="52"/>
      <c r="R2" s="52"/>
    </row>
    <row r="3" spans="1:18" x14ac:dyDescent="0.25">
      <c r="A3" s="42" t="s">
        <v>3</v>
      </c>
      <c r="B3" s="42" t="s">
        <v>4</v>
      </c>
      <c r="H3" s="48"/>
      <c r="K3" s="52"/>
      <c r="L3" s="52"/>
      <c r="M3" s="52"/>
      <c r="N3" s="52"/>
      <c r="O3" s="52"/>
      <c r="P3" s="52"/>
      <c r="Q3" s="52"/>
      <c r="R3" s="52"/>
    </row>
    <row r="4" spans="1:18" x14ac:dyDescent="0.25">
      <c r="H4" s="48"/>
      <c r="K4" s="52"/>
      <c r="L4" s="52"/>
      <c r="M4" s="52"/>
      <c r="N4" s="52"/>
      <c r="O4" s="52"/>
      <c r="P4" s="52"/>
      <c r="Q4" s="52"/>
      <c r="R4" s="52"/>
    </row>
    <row r="5" spans="1:18" x14ac:dyDescent="0.25">
      <c r="A5" s="42" t="s">
        <v>5</v>
      </c>
      <c r="B5" s="42" t="s">
        <v>6</v>
      </c>
      <c r="H5" s="48"/>
      <c r="K5" s="52"/>
      <c r="L5" s="52"/>
      <c r="M5" s="52"/>
      <c r="N5" s="52"/>
      <c r="O5" s="52"/>
      <c r="P5" s="52"/>
      <c r="Q5" s="52"/>
      <c r="R5" s="52"/>
    </row>
    <row r="7" spans="1:18" x14ac:dyDescent="0.25">
      <c r="C7" s="45" t="s">
        <v>7</v>
      </c>
      <c r="D7" s="45" t="s">
        <v>8</v>
      </c>
      <c r="E7" s="45" t="s">
        <v>9</v>
      </c>
      <c r="F7" s="45" t="s">
        <v>10</v>
      </c>
      <c r="G7" s="45" t="s">
        <v>11</v>
      </c>
      <c r="H7" s="48" t="s">
        <v>428</v>
      </c>
      <c r="K7" s="52" t="s">
        <v>429</v>
      </c>
      <c r="L7" s="52" t="s">
        <v>430</v>
      </c>
      <c r="M7" s="52" t="s">
        <v>431</v>
      </c>
      <c r="N7" s="52" t="s">
        <v>432</v>
      </c>
      <c r="O7" s="52" t="s">
        <v>433</v>
      </c>
      <c r="P7" s="52" t="s">
        <v>434</v>
      </c>
      <c r="Q7" s="52" t="s">
        <v>435</v>
      </c>
      <c r="R7" s="52" t="s">
        <v>436</v>
      </c>
    </row>
    <row r="8" spans="1:18" x14ac:dyDescent="0.25">
      <c r="A8" s="43" t="s">
        <v>12</v>
      </c>
      <c r="B8" s="43" t="s">
        <v>13</v>
      </c>
      <c r="C8" s="46"/>
      <c r="D8" s="46"/>
      <c r="E8" s="46"/>
      <c r="F8" s="46"/>
      <c r="G8" s="46"/>
      <c r="H8" s="5"/>
      <c r="K8" s="8"/>
      <c r="L8" s="8"/>
      <c r="M8" s="8"/>
      <c r="N8" s="8"/>
      <c r="O8" s="8"/>
      <c r="P8" s="8"/>
      <c r="Q8" s="8"/>
      <c r="R8" s="8"/>
    </row>
    <row r="9" spans="1:18" x14ac:dyDescent="0.25">
      <c r="A9" s="42" t="s">
        <v>12</v>
      </c>
      <c r="B9" s="42" t="s">
        <v>12</v>
      </c>
      <c r="H9" s="48"/>
      <c r="K9" s="52"/>
      <c r="L9" s="52"/>
      <c r="M9" s="52"/>
      <c r="N9" s="52"/>
      <c r="O9" s="52"/>
      <c r="P9" s="52"/>
      <c r="Q9" s="52"/>
      <c r="R9" s="52"/>
    </row>
    <row r="10" spans="1:18" x14ac:dyDescent="0.25">
      <c r="A10" s="42" t="s">
        <v>14</v>
      </c>
      <c r="B10" s="42" t="s">
        <v>15</v>
      </c>
      <c r="C10" s="45">
        <v>46576460.770000003</v>
      </c>
      <c r="D10" s="45">
        <v>90947976.510000005</v>
      </c>
      <c r="E10" s="45">
        <v>48.79</v>
      </c>
      <c r="F10" s="45">
        <v>51.21</v>
      </c>
      <c r="G10" s="45">
        <v>44371515.740000002</v>
      </c>
      <c r="H10" s="48">
        <f>SUM(K10:R10)</f>
        <v>79521201.560000002</v>
      </c>
      <c r="K10" s="52">
        <f>'Fælles adm.'!I11</f>
        <v>2226850</v>
      </c>
      <c r="L10" s="52">
        <f>Odense!I11</f>
        <v>26701077.614952132</v>
      </c>
      <c r="M10" s="52">
        <f>Laks!I11</f>
        <v>0</v>
      </c>
      <c r="N10" s="52">
        <f>Assens!I11</f>
        <v>9948904.7719312049</v>
      </c>
      <c r="O10" s="52">
        <f>Nyborg!I11</f>
        <v>9288563.3756021392</v>
      </c>
      <c r="P10" s="52">
        <f>Nordfyn!I11</f>
        <v>10578347.462213119</v>
      </c>
      <c r="Q10" s="52">
        <f>Kerteminde!I11</f>
        <v>10693325.965301402</v>
      </c>
      <c r="R10" s="52">
        <f>'Særlige tilskud'!I11</f>
        <v>10084132.370000001</v>
      </c>
    </row>
    <row r="11" spans="1:18" x14ac:dyDescent="0.25">
      <c r="A11" s="42" t="s">
        <v>16</v>
      </c>
      <c r="B11" s="42" t="s">
        <v>17</v>
      </c>
      <c r="C11" s="45">
        <v>3310489.05</v>
      </c>
      <c r="D11" s="45">
        <v>5639295.6699999999</v>
      </c>
      <c r="E11" s="45">
        <v>41.3</v>
      </c>
      <c r="F11" s="45">
        <v>58.7</v>
      </c>
      <c r="G11" s="45">
        <v>2328806.62</v>
      </c>
      <c r="H11" s="48">
        <f>SUM(K11:R11)</f>
        <v>5462043.4000000004</v>
      </c>
      <c r="K11" s="52">
        <f>'Fælles adm.'!I12</f>
        <v>0</v>
      </c>
      <c r="L11" s="52">
        <f>Odense!I12</f>
        <v>560073.6</v>
      </c>
      <c r="M11" s="52">
        <f>Laks!I12</f>
        <v>3041500</v>
      </c>
      <c r="N11" s="52">
        <f>Assens!I12</f>
        <v>753196.8</v>
      </c>
      <c r="O11" s="52">
        <f>Nyborg!I12</f>
        <v>152000</v>
      </c>
      <c r="P11" s="52">
        <f>Nordfyn!I12</f>
        <v>667612</v>
      </c>
      <c r="Q11" s="52">
        <f>Kerteminde!I12</f>
        <v>287661</v>
      </c>
      <c r="R11" s="52">
        <f>'Særlige tilskud'!I12</f>
        <v>0</v>
      </c>
    </row>
    <row r="12" spans="1:18" x14ac:dyDescent="0.25">
      <c r="A12" s="42" t="s">
        <v>18</v>
      </c>
      <c r="B12" s="42" t="s">
        <v>19</v>
      </c>
      <c r="C12" s="45">
        <v>362884.2</v>
      </c>
      <c r="G12" s="45">
        <v>-362884.2</v>
      </c>
      <c r="H12" s="48">
        <f>SUM(K12:R12)</f>
        <v>693721.35000000009</v>
      </c>
      <c r="K12" s="52">
        <f>'Fælles adm.'!I13</f>
        <v>0</v>
      </c>
      <c r="L12" s="52">
        <f>Odense!I13</f>
        <v>469392</v>
      </c>
      <c r="M12" s="52">
        <f>Laks!I13</f>
        <v>0</v>
      </c>
      <c r="N12" s="52">
        <f>Assens!I13</f>
        <v>0</v>
      </c>
      <c r="O12" s="52">
        <f>Nyborg!I13</f>
        <v>22758.05</v>
      </c>
      <c r="P12" s="52">
        <f>Nordfyn!I13</f>
        <v>51089.5</v>
      </c>
      <c r="Q12" s="52">
        <f>Kerteminde!I13</f>
        <v>150481.79999999999</v>
      </c>
      <c r="R12" s="52">
        <f>'Særlige tilskud'!I13</f>
        <v>0</v>
      </c>
    </row>
    <row r="13" spans="1:18" x14ac:dyDescent="0.25">
      <c r="A13" s="43" t="s">
        <v>20</v>
      </c>
      <c r="B13" s="43" t="s">
        <v>21</v>
      </c>
      <c r="C13" s="46">
        <v>50249834.020000003</v>
      </c>
      <c r="D13" s="46">
        <v>96587272.180000007</v>
      </c>
      <c r="E13" s="46">
        <v>47.97</v>
      </c>
      <c r="F13" s="46">
        <v>52.03</v>
      </c>
      <c r="G13" s="46">
        <v>46337438.159999996</v>
      </c>
      <c r="H13" s="5">
        <f>SUM(K13:R13)</f>
        <v>85676966.310000002</v>
      </c>
      <c r="K13" s="8">
        <f>'Fælles adm.'!I14</f>
        <v>2226850</v>
      </c>
      <c r="L13" s="8">
        <f>Odense!I14</f>
        <v>27730543.214952134</v>
      </c>
      <c r="M13" s="8">
        <f>Laks!I14</f>
        <v>3041500</v>
      </c>
      <c r="N13" s="8">
        <f>Assens!I14</f>
        <v>10702101.571931206</v>
      </c>
      <c r="O13" s="8">
        <f>Nyborg!I14</f>
        <v>9463321.4256021399</v>
      </c>
      <c r="P13" s="8">
        <f>Nordfyn!I14</f>
        <v>11297048.962213119</v>
      </c>
      <c r="Q13" s="8">
        <f>Kerteminde!I14</f>
        <v>11131468.765301403</v>
      </c>
      <c r="R13" s="8">
        <f>'Særlige tilskud'!I14</f>
        <v>10084132.370000001</v>
      </c>
    </row>
    <row r="14" spans="1:18" x14ac:dyDescent="0.25">
      <c r="A14" s="42" t="s">
        <v>12</v>
      </c>
      <c r="B14" s="42" t="s">
        <v>12</v>
      </c>
      <c r="H14" s="48"/>
      <c r="K14" s="52"/>
      <c r="L14" s="52"/>
      <c r="M14" s="52"/>
      <c r="N14" s="52"/>
      <c r="O14" s="52"/>
      <c r="P14" s="52"/>
      <c r="Q14" s="52"/>
      <c r="R14" s="52"/>
    </row>
    <row r="15" spans="1:18" x14ac:dyDescent="0.25">
      <c r="A15" s="43" t="s">
        <v>12</v>
      </c>
      <c r="B15" s="43" t="s">
        <v>22</v>
      </c>
      <c r="C15" s="46"/>
      <c r="D15" s="46"/>
      <c r="E15" s="46"/>
      <c r="F15" s="46"/>
      <c r="G15" s="46"/>
      <c r="H15" s="5"/>
      <c r="K15" s="8"/>
      <c r="L15" s="8"/>
      <c r="M15" s="8"/>
      <c r="N15" s="8"/>
      <c r="O15" s="8"/>
      <c r="P15" s="8"/>
      <c r="Q15" s="8"/>
      <c r="R15" s="8"/>
    </row>
    <row r="16" spans="1:18" x14ac:dyDescent="0.25">
      <c r="A16" s="42" t="s">
        <v>23</v>
      </c>
      <c r="B16" s="42" t="s">
        <v>24</v>
      </c>
      <c r="H16" s="48">
        <f>SUM(K16:R16)</f>
        <v>0</v>
      </c>
      <c r="K16" s="52">
        <f>'Fælles adm.'!I17</f>
        <v>0</v>
      </c>
      <c r="L16" s="52">
        <f>Odense!I17</f>
        <v>0</v>
      </c>
      <c r="M16" s="52">
        <f>Laks!I17</f>
        <v>0</v>
      </c>
      <c r="N16" s="52">
        <f>Assens!I17</f>
        <v>0</v>
      </c>
      <c r="O16" s="52">
        <f>Nyborg!I17</f>
        <v>0</v>
      </c>
      <c r="P16" s="52">
        <f>Nordfyn!I17</f>
        <v>0</v>
      </c>
      <c r="Q16" s="52">
        <f>Kerteminde!I17</f>
        <v>0</v>
      </c>
      <c r="R16" s="52">
        <f>'Særlige tilskud'!I17</f>
        <v>0</v>
      </c>
    </row>
    <row r="17" spans="1:18" x14ac:dyDescent="0.25">
      <c r="A17" s="42" t="s">
        <v>25</v>
      </c>
      <c r="B17" s="42" t="s">
        <v>26</v>
      </c>
      <c r="C17" s="45">
        <v>-459230.14</v>
      </c>
      <c r="D17" s="45">
        <v>-1051606</v>
      </c>
      <c r="E17" s="45">
        <v>56.33</v>
      </c>
      <c r="F17" s="45">
        <v>43.67</v>
      </c>
      <c r="G17" s="45">
        <v>-592375.86</v>
      </c>
      <c r="H17" s="48">
        <f>SUM(K17:R17)</f>
        <v>-850881.97</v>
      </c>
      <c r="K17" s="52">
        <f>'Fælles adm.'!I18</f>
        <v>0</v>
      </c>
      <c r="L17" s="52">
        <f>Odense!I18</f>
        <v>-13544.869999999999</v>
      </c>
      <c r="M17" s="52">
        <f>Laks!I18</f>
        <v>-5496.4</v>
      </c>
      <c r="N17" s="52">
        <f>Assens!I18</f>
        <v>-168399.45</v>
      </c>
      <c r="O17" s="52">
        <f>Nyborg!I18</f>
        <v>-166854.25</v>
      </c>
      <c r="P17" s="52">
        <f>Nordfyn!I18</f>
        <v>-313327</v>
      </c>
      <c r="Q17" s="52">
        <f>Kerteminde!I18</f>
        <v>-183260</v>
      </c>
      <c r="R17" s="52">
        <f>'Særlige tilskud'!I18</f>
        <v>0</v>
      </c>
    </row>
    <row r="18" spans="1:18" x14ac:dyDescent="0.25">
      <c r="A18" s="42" t="s">
        <v>27</v>
      </c>
      <c r="B18" s="42" t="s">
        <v>28</v>
      </c>
      <c r="H18" s="48"/>
      <c r="K18" s="52">
        <f>'Fælles adm.'!I19</f>
        <v>0</v>
      </c>
      <c r="L18" s="52">
        <f>Odense!I19</f>
        <v>0</v>
      </c>
      <c r="M18" s="52">
        <f>Laks!I19</f>
        <v>0</v>
      </c>
      <c r="N18" s="52">
        <f>Assens!I19</f>
        <v>0</v>
      </c>
      <c r="O18" s="52">
        <f>Nyborg!I19</f>
        <v>0</v>
      </c>
      <c r="P18" s="52">
        <f>Nordfyn!I19</f>
        <v>0</v>
      </c>
      <c r="Q18" s="52">
        <f>Kerteminde!I19</f>
        <v>0</v>
      </c>
      <c r="R18" s="52">
        <f>'Særlige tilskud'!I19</f>
        <v>0</v>
      </c>
    </row>
    <row r="19" spans="1:18" x14ac:dyDescent="0.25">
      <c r="A19" s="42" t="s">
        <v>12</v>
      </c>
      <c r="B19" s="42" t="s">
        <v>12</v>
      </c>
      <c r="H19" s="48"/>
      <c r="K19" s="52"/>
      <c r="L19" s="52"/>
      <c r="M19" s="52"/>
      <c r="N19" s="52"/>
      <c r="O19" s="52"/>
      <c r="P19" s="52"/>
      <c r="Q19" s="52"/>
      <c r="R19" s="52"/>
    </row>
    <row r="20" spans="1:18" x14ac:dyDescent="0.25">
      <c r="A20" s="42" t="s">
        <v>29</v>
      </c>
      <c r="B20" s="42" t="s">
        <v>30</v>
      </c>
      <c r="C20" s="45">
        <v>-33063795.859999999</v>
      </c>
      <c r="D20" s="45">
        <v>-66770111.689999998</v>
      </c>
      <c r="E20" s="45">
        <v>50.48</v>
      </c>
      <c r="F20" s="45">
        <v>49.52</v>
      </c>
      <c r="G20" s="45">
        <v>-33706315.829999998</v>
      </c>
      <c r="H20" s="48">
        <f>SUM(K20:R20)</f>
        <v>-47337370.579999998</v>
      </c>
      <c r="K20" s="52">
        <f>'Fælles adm.'!I21</f>
        <v>-4952603.4100000011</v>
      </c>
      <c r="L20" s="52">
        <f>Odense!I21</f>
        <v>-14766934.760000002</v>
      </c>
      <c r="M20" s="52">
        <f>Laks!I21</f>
        <v>-1604499.3900000001</v>
      </c>
      <c r="N20" s="52">
        <f>Assens!I21</f>
        <v>-5416680.3099999996</v>
      </c>
      <c r="O20" s="52">
        <f>Nyborg!I21</f>
        <v>-7101964.2399999993</v>
      </c>
      <c r="P20" s="52">
        <f>Nordfyn!I21</f>
        <v>-6398765.1200000001</v>
      </c>
      <c r="Q20" s="52">
        <f>Kerteminde!I21</f>
        <v>-7095923.3499999996</v>
      </c>
      <c r="R20" s="52">
        <f>'Særlige tilskud'!I21</f>
        <v>0</v>
      </c>
    </row>
    <row r="21" spans="1:18" x14ac:dyDescent="0.25">
      <c r="A21" s="43" t="s">
        <v>31</v>
      </c>
      <c r="B21" s="43" t="s">
        <v>32</v>
      </c>
      <c r="C21" s="46">
        <v>-33523026</v>
      </c>
      <c r="D21" s="46">
        <v>-67821717.689999998</v>
      </c>
      <c r="E21" s="46">
        <v>50.57</v>
      </c>
      <c r="F21" s="46">
        <v>49.43</v>
      </c>
      <c r="G21" s="46">
        <v>-34298691.689999998</v>
      </c>
      <c r="H21" s="5">
        <f>SUM(K21:R21)</f>
        <v>-47337370.579999998</v>
      </c>
      <c r="K21" s="8">
        <f>'Fælles adm.'!I22</f>
        <v>-4952603.4100000011</v>
      </c>
      <c r="L21" s="8">
        <f>Odense!I22</f>
        <v>-14766934.760000002</v>
      </c>
      <c r="M21" s="8">
        <f>Laks!I22</f>
        <v>-1604499.3900000001</v>
      </c>
      <c r="N21" s="8">
        <f>Assens!I22</f>
        <v>-5416680.3099999996</v>
      </c>
      <c r="O21" s="8">
        <f>Nyborg!I22</f>
        <v>-7101964.2399999993</v>
      </c>
      <c r="P21" s="8">
        <f>Nordfyn!I22</f>
        <v>-6398765.1200000001</v>
      </c>
      <c r="Q21" s="8">
        <f>Kerteminde!I22</f>
        <v>-7095923.3499999996</v>
      </c>
      <c r="R21" s="8">
        <f>'Særlige tilskud'!I22</f>
        <v>0</v>
      </c>
    </row>
    <row r="22" spans="1:18" x14ac:dyDescent="0.25">
      <c r="A22" s="42" t="s">
        <v>12</v>
      </c>
      <c r="B22" s="42" t="s">
        <v>12</v>
      </c>
      <c r="H22" s="48"/>
      <c r="K22" s="52"/>
      <c r="L22" s="52"/>
      <c r="M22" s="52"/>
      <c r="N22" s="52"/>
      <c r="O22" s="52"/>
      <c r="P22" s="52"/>
      <c r="Q22" s="52"/>
      <c r="R22" s="52"/>
    </row>
    <row r="23" spans="1:18" x14ac:dyDescent="0.25">
      <c r="A23" s="42" t="s">
        <v>33</v>
      </c>
      <c r="B23" s="42" t="s">
        <v>34</v>
      </c>
      <c r="C23" s="45">
        <v>1186063.17</v>
      </c>
      <c r="D23" s="45">
        <v>813348.36</v>
      </c>
      <c r="E23" s="45">
        <v>-45.82</v>
      </c>
      <c r="F23" s="45">
        <v>145.82</v>
      </c>
      <c r="G23" s="45">
        <v>-372714.81</v>
      </c>
      <c r="H23" s="48">
        <f>SUM(K23:R23)</f>
        <v>580143.63</v>
      </c>
      <c r="K23" s="52">
        <f>'Fælles adm.'!I24</f>
        <v>42259.63</v>
      </c>
      <c r="L23" s="52">
        <f>Odense!I24</f>
        <v>165880</v>
      </c>
      <c r="M23" s="52">
        <f>Laks!I24</f>
        <v>0</v>
      </c>
      <c r="N23" s="52">
        <f>Assens!I24</f>
        <v>116100</v>
      </c>
      <c r="O23" s="52">
        <f>Nyborg!I24</f>
        <v>50000</v>
      </c>
      <c r="P23" s="52">
        <f>Nordfyn!I24</f>
        <v>103200</v>
      </c>
      <c r="Q23" s="52">
        <f>Kerteminde!I24</f>
        <v>102704</v>
      </c>
      <c r="R23" s="52">
        <f>'Særlige tilskud'!I24</f>
        <v>0</v>
      </c>
    </row>
    <row r="24" spans="1:18" x14ac:dyDescent="0.25">
      <c r="A24" s="42" t="s">
        <v>35</v>
      </c>
      <c r="B24" s="42" t="s">
        <v>36</v>
      </c>
      <c r="C24" s="45">
        <v>-9145002.5</v>
      </c>
      <c r="D24" s="45">
        <v>-30277905.449999999</v>
      </c>
      <c r="E24" s="45">
        <v>69.8</v>
      </c>
      <c r="F24" s="45">
        <v>30.2</v>
      </c>
      <c r="G24" s="45">
        <v>-21132902.949999999</v>
      </c>
      <c r="H24" s="48">
        <f>SUM(K24:R24)</f>
        <v>-21541744.25</v>
      </c>
      <c r="K24" s="52">
        <f>'Fælles adm.'!I25</f>
        <v>1109186.9699999997</v>
      </c>
      <c r="L24" s="52">
        <f>Odense!I25</f>
        <v>-7035144.8911999995</v>
      </c>
      <c r="M24" s="52">
        <f>Laks!I25</f>
        <v>-1404039.5499999998</v>
      </c>
      <c r="N24" s="52">
        <f>Assens!I25</f>
        <v>-2593951.4176000003</v>
      </c>
      <c r="O24" s="52">
        <f>Nyborg!I25</f>
        <v>-2526284.7960000001</v>
      </c>
      <c r="P24" s="52">
        <f>Nordfyn!I25</f>
        <v>-2740483.6359999999</v>
      </c>
      <c r="Q24" s="52">
        <f>Kerteminde!I25</f>
        <v>-2351026.9292000001</v>
      </c>
      <c r="R24" s="52">
        <f>'Særlige tilskud'!I25</f>
        <v>-4000000</v>
      </c>
    </row>
    <row r="25" spans="1:18" x14ac:dyDescent="0.25">
      <c r="A25" s="42" t="s">
        <v>37</v>
      </c>
      <c r="B25" s="42" t="s">
        <v>38</v>
      </c>
      <c r="C25" s="45">
        <v>-1246.72</v>
      </c>
      <c r="D25" s="45">
        <v>42000</v>
      </c>
      <c r="E25" s="45">
        <v>102.97</v>
      </c>
      <c r="F25" s="45">
        <v>-2.97</v>
      </c>
      <c r="G25" s="45">
        <v>43246.720000000001</v>
      </c>
      <c r="H25" s="48">
        <f>SUM(K25:R25)</f>
        <v>0</v>
      </c>
      <c r="K25" s="52">
        <f>'Fælles adm.'!I26</f>
        <v>0</v>
      </c>
      <c r="L25" s="52">
        <f>Odense!I26</f>
        <v>0</v>
      </c>
      <c r="M25" s="52">
        <f>Laks!I26</f>
        <v>0</v>
      </c>
      <c r="N25" s="52">
        <f>Assens!I26</f>
        <v>0</v>
      </c>
      <c r="O25" s="52">
        <f>Nyborg!I26</f>
        <v>0</v>
      </c>
      <c r="P25" s="52">
        <f>Nordfyn!I26</f>
        <v>0</v>
      </c>
      <c r="Q25" s="52">
        <f>Kerteminde!I26</f>
        <v>0</v>
      </c>
      <c r="R25" s="52">
        <f>'Særlige tilskud'!I26</f>
        <v>0</v>
      </c>
    </row>
    <row r="26" spans="1:18" x14ac:dyDescent="0.25">
      <c r="A26" s="42" t="s">
        <v>39</v>
      </c>
      <c r="B26" s="42" t="s">
        <v>40</v>
      </c>
      <c r="C26" s="45">
        <v>-131604.32999999999</v>
      </c>
      <c r="D26" s="45">
        <v>-463483.58</v>
      </c>
      <c r="E26" s="45">
        <v>71.61</v>
      </c>
      <c r="F26" s="45">
        <v>28.39</v>
      </c>
      <c r="G26" s="45">
        <v>-331879.25</v>
      </c>
      <c r="H26" s="48">
        <f>SUM(K26:R26)</f>
        <v>-283562</v>
      </c>
      <c r="K26" s="52">
        <f>'Fælles adm.'!I27</f>
        <v>0</v>
      </c>
      <c r="L26" s="52">
        <f>Odense!I27</f>
        <v>0</v>
      </c>
      <c r="M26" s="52">
        <f>Laks!I27</f>
        <v>0</v>
      </c>
      <c r="N26" s="52">
        <f>Assens!I27</f>
        <v>0</v>
      </c>
      <c r="O26" s="52">
        <f>Nyborg!I27</f>
        <v>0</v>
      </c>
      <c r="P26" s="52">
        <f>Nordfyn!I27</f>
        <v>-33562</v>
      </c>
      <c r="Q26" s="52">
        <f>Kerteminde!I27</f>
        <v>-250000</v>
      </c>
      <c r="R26" s="52">
        <f>'Særlige tilskud'!I27</f>
        <v>0</v>
      </c>
    </row>
    <row r="27" spans="1:18" x14ac:dyDescent="0.25">
      <c r="A27" s="42" t="s">
        <v>41</v>
      </c>
      <c r="B27" s="42" t="s">
        <v>42</v>
      </c>
      <c r="H27" s="48"/>
      <c r="K27" s="52">
        <f>'Fælles adm.'!I28</f>
        <v>0</v>
      </c>
      <c r="L27" s="52">
        <f>Odense!I28</f>
        <v>0</v>
      </c>
      <c r="M27" s="52">
        <f>Laks!I28</f>
        <v>0</v>
      </c>
      <c r="N27" s="52">
        <f>Assens!I28</f>
        <v>0</v>
      </c>
      <c r="O27" s="52">
        <f>Nyborg!I28</f>
        <v>0</v>
      </c>
      <c r="P27" s="52">
        <f>Nordfyn!I28</f>
        <v>0</v>
      </c>
      <c r="Q27" s="52">
        <f>Kerteminde!I28</f>
        <v>0</v>
      </c>
      <c r="R27" s="52">
        <f>'Særlige tilskud'!I28</f>
        <v>0</v>
      </c>
    </row>
    <row r="28" spans="1:18" x14ac:dyDescent="0.25">
      <c r="A28" s="42" t="s">
        <v>43</v>
      </c>
      <c r="B28" s="42" t="s">
        <v>44</v>
      </c>
      <c r="H28" s="48"/>
      <c r="K28" s="52">
        <f>'Fælles adm.'!I29</f>
        <v>0</v>
      </c>
      <c r="L28" s="52">
        <f>Odense!I29</f>
        <v>0</v>
      </c>
      <c r="M28" s="52">
        <f>Laks!I29</f>
        <v>0</v>
      </c>
      <c r="N28" s="52">
        <f>Assens!I29</f>
        <v>0</v>
      </c>
      <c r="O28" s="52">
        <f>Nyborg!I29</f>
        <v>0</v>
      </c>
      <c r="P28" s="52">
        <f>Nordfyn!I29</f>
        <v>0</v>
      </c>
      <c r="Q28" s="52">
        <f>Kerteminde!I29</f>
        <v>0</v>
      </c>
      <c r="R28" s="52">
        <f>'Særlige tilskud'!I29</f>
        <v>0</v>
      </c>
    </row>
    <row r="29" spans="1:18" x14ac:dyDescent="0.25">
      <c r="A29" s="42" t="s">
        <v>12</v>
      </c>
      <c r="B29" s="42" t="s">
        <v>12</v>
      </c>
      <c r="H29" s="48"/>
      <c r="K29" s="52"/>
      <c r="L29" s="52"/>
      <c r="M29" s="52"/>
      <c r="N29" s="52"/>
      <c r="O29" s="52"/>
      <c r="P29" s="52"/>
      <c r="Q29" s="52"/>
      <c r="R29" s="52"/>
    </row>
    <row r="30" spans="1:18" ht="15.75" thickBot="1" x14ac:dyDescent="0.3">
      <c r="A30" s="44" t="s">
        <v>45</v>
      </c>
      <c r="B30" s="44" t="s">
        <v>46</v>
      </c>
      <c r="C30" s="47">
        <v>8635017.6400000006</v>
      </c>
      <c r="D30" s="47">
        <v>-1120486.18</v>
      </c>
      <c r="E30" s="47">
        <v>870.65</v>
      </c>
      <c r="F30" s="47">
        <v>-770.65</v>
      </c>
      <c r="G30" s="47">
        <v>-9755503.8200000003</v>
      </c>
      <c r="H30" s="6">
        <f>SUM(K30:R30)</f>
        <v>16243551.140000001</v>
      </c>
      <c r="K30" s="9">
        <f>'Fælles adm.'!I31</f>
        <v>-1574306.8100000015</v>
      </c>
      <c r="L30" s="9">
        <f>Odense!I31</f>
        <v>6080798.6937521314</v>
      </c>
      <c r="M30" s="9">
        <f>Laks!I31</f>
        <v>27464.660000000149</v>
      </c>
      <c r="N30" s="9">
        <f>Assens!I31</f>
        <v>2639170.3943312066</v>
      </c>
      <c r="O30" s="9">
        <f>Nyborg!I31</f>
        <v>-281781.86039785948</v>
      </c>
      <c r="P30" s="9">
        <f>Nordfyn!I31</f>
        <v>1914111.2062131194</v>
      </c>
      <c r="Q30" s="9">
        <f>Kerteminde!I31</f>
        <v>1353962.4861014029</v>
      </c>
      <c r="R30" s="9">
        <f>'Særlige tilskud'!I31</f>
        <v>6084132.370000001</v>
      </c>
    </row>
    <row r="31" spans="1:18" ht="15.75" thickTop="1" x14ac:dyDescent="0.25">
      <c r="A31" s="42" t="s">
        <v>12</v>
      </c>
      <c r="B31" s="42" t="s">
        <v>12</v>
      </c>
      <c r="H31" s="48"/>
      <c r="K31" s="52"/>
      <c r="L31" s="52"/>
      <c r="M31" s="52"/>
      <c r="N31" s="52"/>
      <c r="O31" s="52"/>
      <c r="P31" s="52"/>
      <c r="Q31" s="52"/>
      <c r="R31" s="52"/>
    </row>
    <row r="32" spans="1:18" x14ac:dyDescent="0.25">
      <c r="A32" s="42" t="s">
        <v>47</v>
      </c>
      <c r="B32" s="42" t="s">
        <v>48</v>
      </c>
      <c r="C32" s="45">
        <v>-1533418.31</v>
      </c>
      <c r="D32" s="45">
        <v>-3644077.35</v>
      </c>
      <c r="E32" s="45">
        <v>57.92</v>
      </c>
      <c r="F32" s="45">
        <v>42.08</v>
      </c>
      <c r="G32" s="45">
        <v>-2110659.04</v>
      </c>
      <c r="H32" s="48">
        <f>SUM(K32:R32)</f>
        <v>-3107784.6599999997</v>
      </c>
      <c r="K32" s="52">
        <f>'Fælles adm.'!I33</f>
        <v>0</v>
      </c>
      <c r="L32" s="52">
        <f>Odense!I33</f>
        <v>-1219411.71</v>
      </c>
      <c r="M32" s="52">
        <f>Laks!I33</f>
        <v>-19547.330000000002</v>
      </c>
      <c r="N32" s="52">
        <f>Assens!I33</f>
        <v>-341818.28</v>
      </c>
      <c r="O32" s="52">
        <f>Nyborg!I33</f>
        <v>-142681.26999999999</v>
      </c>
      <c r="P32" s="52">
        <f>Nordfyn!I33</f>
        <v>-460093.5</v>
      </c>
      <c r="Q32" s="52">
        <f>Kerteminde!I33</f>
        <v>-924232.57</v>
      </c>
      <c r="R32" s="52">
        <f>'Særlige tilskud'!I33</f>
        <v>0</v>
      </c>
    </row>
    <row r="33" spans="1:18" x14ac:dyDescent="0.25">
      <c r="A33" s="42" t="s">
        <v>12</v>
      </c>
      <c r="B33" s="42" t="s">
        <v>12</v>
      </c>
      <c r="H33" s="48"/>
      <c r="K33" s="52"/>
      <c r="L33" s="52"/>
      <c r="M33" s="52"/>
      <c r="N33" s="52"/>
      <c r="O33" s="52"/>
      <c r="P33" s="52"/>
      <c r="Q33" s="52"/>
      <c r="R33" s="52"/>
    </row>
    <row r="34" spans="1:18" ht="15.75" thickBot="1" x14ac:dyDescent="0.3">
      <c r="A34" s="44" t="s">
        <v>12</v>
      </c>
      <c r="B34" s="44" t="s">
        <v>49</v>
      </c>
      <c r="C34" s="47">
        <v>7101599.3300000001</v>
      </c>
      <c r="D34" s="47">
        <v>-4764563.53</v>
      </c>
      <c r="E34" s="47">
        <v>249.05</v>
      </c>
      <c r="F34" s="47">
        <v>-149.05000000000001</v>
      </c>
      <c r="G34" s="47">
        <v>-11866162.859999999</v>
      </c>
      <c r="H34" s="6">
        <f>SUM(K34:R34)</f>
        <v>13135766.48</v>
      </c>
      <c r="K34" s="9">
        <f>'Fælles adm.'!I35</f>
        <v>-1574306.8100000015</v>
      </c>
      <c r="L34" s="9">
        <f>Odense!I35</f>
        <v>4861386.9837521315</v>
      </c>
      <c r="M34" s="9">
        <f>Laks!I35</f>
        <v>7917.3300000001473</v>
      </c>
      <c r="N34" s="9">
        <f>Assens!I35</f>
        <v>2297352.1143312063</v>
      </c>
      <c r="O34" s="9">
        <f>Nyborg!I35</f>
        <v>-424463.1303978595</v>
      </c>
      <c r="P34" s="9">
        <f>Nordfyn!I35</f>
        <v>1454017.7062131194</v>
      </c>
      <c r="Q34" s="9">
        <f>Kerteminde!I35</f>
        <v>429729.91610140295</v>
      </c>
      <c r="R34" s="9">
        <f>'Særlige tilskud'!I35</f>
        <v>6084132.370000001</v>
      </c>
    </row>
    <row r="35" spans="1:18" ht="15.75" thickTop="1" x14ac:dyDescent="0.25">
      <c r="A35" s="42" t="s">
        <v>12</v>
      </c>
      <c r="B35" s="42" t="s">
        <v>12</v>
      </c>
      <c r="H35" s="48"/>
      <c r="K35" s="52"/>
      <c r="L35" s="52"/>
      <c r="M35" s="52"/>
      <c r="N35" s="52"/>
      <c r="O35" s="52"/>
      <c r="P35" s="52"/>
      <c r="Q35" s="52"/>
      <c r="R35" s="52"/>
    </row>
    <row r="36" spans="1:18" x14ac:dyDescent="0.25">
      <c r="A36" s="43" t="s">
        <v>12</v>
      </c>
      <c r="B36" s="43" t="s">
        <v>50</v>
      </c>
      <c r="C36" s="46"/>
      <c r="D36" s="46"/>
      <c r="E36" s="46"/>
      <c r="F36" s="46"/>
      <c r="G36" s="46"/>
      <c r="H36" s="5">
        <f>H34-H244</f>
        <v>0</v>
      </c>
      <c r="K36" s="5">
        <f t="shared" ref="K36:R36" si="0">K34-K244</f>
        <v>0</v>
      </c>
      <c r="L36" s="5">
        <f t="shared" si="0"/>
        <v>0</v>
      </c>
      <c r="M36" s="5">
        <f t="shared" si="0"/>
        <v>0</v>
      </c>
      <c r="N36" s="5">
        <f t="shared" si="0"/>
        <v>0</v>
      </c>
      <c r="O36" s="5">
        <f t="shared" si="0"/>
        <v>0</v>
      </c>
      <c r="P36" s="5">
        <f t="shared" si="0"/>
        <v>0</v>
      </c>
      <c r="Q36" s="5">
        <f t="shared" si="0"/>
        <v>0</v>
      </c>
      <c r="R36" s="5">
        <f t="shared" si="0"/>
        <v>0</v>
      </c>
    </row>
    <row r="37" spans="1:18" s="40" customFormat="1" x14ac:dyDescent="0.25">
      <c r="A37" s="43"/>
      <c r="B37" s="43"/>
      <c r="C37" s="46"/>
      <c r="D37" s="46"/>
      <c r="E37" s="46"/>
      <c r="F37" s="46"/>
      <c r="G37" s="46"/>
      <c r="H37" s="5"/>
      <c r="K37" s="52"/>
      <c r="L37" s="52"/>
      <c r="M37" s="52"/>
      <c r="N37" s="52"/>
      <c r="O37" s="52"/>
      <c r="P37" s="52"/>
      <c r="Q37" s="52"/>
      <c r="R37" s="52"/>
    </row>
    <row r="38" spans="1:18" x14ac:dyDescent="0.25">
      <c r="A38" s="43" t="s">
        <v>51</v>
      </c>
      <c r="B38" s="43" t="s">
        <v>52</v>
      </c>
      <c r="C38" s="46"/>
      <c r="D38" s="46"/>
      <c r="E38" s="46"/>
      <c r="F38" s="46"/>
      <c r="G38" s="46"/>
      <c r="H38" s="5"/>
      <c r="K38" s="52"/>
      <c r="L38" s="52"/>
      <c r="M38" s="52"/>
      <c r="N38" s="52"/>
      <c r="O38" s="52"/>
      <c r="P38" s="52"/>
      <c r="Q38" s="52"/>
      <c r="R38" s="52"/>
    </row>
    <row r="39" spans="1:18" x14ac:dyDescent="0.25">
      <c r="A39" s="42" t="s">
        <v>53</v>
      </c>
      <c r="B39" s="42" t="s">
        <v>54</v>
      </c>
      <c r="C39" s="45">
        <v>28865159.129999999</v>
      </c>
      <c r="D39" s="45">
        <v>64739024.600000001</v>
      </c>
      <c r="E39" s="45">
        <v>55.41</v>
      </c>
      <c r="F39" s="45">
        <v>44.59</v>
      </c>
      <c r="G39" s="45">
        <v>35873865.469999999</v>
      </c>
      <c r="H39" s="49">
        <f t="shared" ref="H39:H45" si="1">SUM(K39:R39)</f>
        <v>55873421.189999998</v>
      </c>
      <c r="K39" s="54">
        <f>'Fælles adm.'!I40</f>
        <v>0</v>
      </c>
      <c r="L39" s="54">
        <f>Odense!I40</f>
        <v>23855836.665381402</v>
      </c>
      <c r="M39" s="54">
        <f>Laks!I40</f>
        <v>0</v>
      </c>
      <c r="N39" s="54">
        <f>Assens!I40</f>
        <v>7833075.8423545929</v>
      </c>
      <c r="O39" s="54">
        <f>Nyborg!I40</f>
        <v>7175731.8085893895</v>
      </c>
      <c r="P39" s="54">
        <f>Nordfyn!I40</f>
        <v>8436188.9933341667</v>
      </c>
      <c r="Q39" s="54">
        <f>Kerteminde!I40</f>
        <v>8572587.8803404458</v>
      </c>
      <c r="R39" s="54">
        <f>'Særlige tilskud'!I40</f>
        <v>0</v>
      </c>
    </row>
    <row r="40" spans="1:18" x14ac:dyDescent="0.25">
      <c r="A40" s="42" t="s">
        <v>55</v>
      </c>
      <c r="B40" s="42" t="s">
        <v>56</v>
      </c>
      <c r="C40" s="45">
        <v>60595.199999999997</v>
      </c>
      <c r="D40" s="45">
        <v>3691120</v>
      </c>
      <c r="E40" s="45">
        <v>98.36</v>
      </c>
      <c r="F40" s="45">
        <v>1.64</v>
      </c>
      <c r="G40" s="45">
        <v>3630524.8</v>
      </c>
      <c r="H40" s="49">
        <f t="shared" si="1"/>
        <v>1300000</v>
      </c>
      <c r="K40" s="54">
        <f>'Fælles adm.'!I41</f>
        <v>0</v>
      </c>
      <c r="L40" s="54">
        <f>Odense!I41</f>
        <v>555050.80957072892</v>
      </c>
      <c r="M40" s="54">
        <f>Laks!I41</f>
        <v>0</v>
      </c>
      <c r="N40" s="54">
        <f>Assens!I41</f>
        <v>182251.20957661141</v>
      </c>
      <c r="O40" s="54">
        <f>Nyborg!I41</f>
        <v>166956.86701275015</v>
      </c>
      <c r="P40" s="54">
        <f>Nordfyn!I41</f>
        <v>196283.76887895408</v>
      </c>
      <c r="Q40" s="54">
        <f>Kerteminde!I41</f>
        <v>199457.34496095532</v>
      </c>
      <c r="R40" s="54">
        <f>'Særlige tilskud'!I41</f>
        <v>0</v>
      </c>
    </row>
    <row r="41" spans="1:18" x14ac:dyDescent="0.25">
      <c r="A41" s="42" t="s">
        <v>57</v>
      </c>
      <c r="B41" s="42" t="s">
        <v>58</v>
      </c>
      <c r="C41" s="45">
        <v>107318.33</v>
      </c>
      <c r="G41" s="45">
        <v>-107318.33</v>
      </c>
      <c r="H41" s="49">
        <f t="shared" si="1"/>
        <v>0</v>
      </c>
      <c r="K41" s="54">
        <f>'Fælles adm.'!I42</f>
        <v>0</v>
      </c>
      <c r="L41" s="54">
        <f>Odense!I42</f>
        <v>0</v>
      </c>
      <c r="M41" s="54">
        <f>Laks!I42</f>
        <v>0</v>
      </c>
      <c r="N41" s="54">
        <f>Assens!I42</f>
        <v>0</v>
      </c>
      <c r="O41" s="54">
        <f>Nyborg!I42</f>
        <v>0</v>
      </c>
      <c r="P41" s="54">
        <f>Nordfyn!I42</f>
        <v>0</v>
      </c>
      <c r="Q41" s="54">
        <f>Kerteminde!I42</f>
        <v>0</v>
      </c>
      <c r="R41" s="54">
        <f>'Særlige tilskud'!I42</f>
        <v>0</v>
      </c>
    </row>
    <row r="42" spans="1:18" x14ac:dyDescent="0.25">
      <c r="A42" s="42" t="s">
        <v>59</v>
      </c>
      <c r="B42" s="42" t="s">
        <v>60</v>
      </c>
      <c r="C42" s="45">
        <v>9595.9500000000007</v>
      </c>
      <c r="D42" s="45">
        <v>87235.91</v>
      </c>
      <c r="E42" s="45">
        <v>89</v>
      </c>
      <c r="F42" s="45">
        <v>11</v>
      </c>
      <c r="G42" s="45">
        <v>77639.960000000006</v>
      </c>
      <c r="H42" s="49">
        <f t="shared" si="1"/>
        <v>0</v>
      </c>
      <c r="K42" s="54">
        <f>'Fælles adm.'!I43</f>
        <v>0</v>
      </c>
      <c r="L42" s="54">
        <f>Odense!I43</f>
        <v>0</v>
      </c>
      <c r="M42" s="54">
        <f>Laks!I43</f>
        <v>0</v>
      </c>
      <c r="N42" s="54">
        <f>Assens!I43</f>
        <v>0</v>
      </c>
      <c r="O42" s="54">
        <f>Nyborg!I43</f>
        <v>0</v>
      </c>
      <c r="P42" s="54">
        <f>Nordfyn!I43</f>
        <v>0</v>
      </c>
      <c r="Q42" s="54">
        <f>Kerteminde!I43</f>
        <v>0</v>
      </c>
      <c r="R42" s="54">
        <f>'Særlige tilskud'!I43</f>
        <v>0</v>
      </c>
    </row>
    <row r="43" spans="1:18" x14ac:dyDescent="0.25">
      <c r="A43" s="42" t="s">
        <v>61</v>
      </c>
      <c r="B43" s="42" t="s">
        <v>62</v>
      </c>
      <c r="C43" s="45">
        <v>5516975</v>
      </c>
      <c r="D43" s="45">
        <v>11033950</v>
      </c>
      <c r="E43" s="45">
        <v>50</v>
      </c>
      <c r="F43" s="45">
        <v>50</v>
      </c>
      <c r="G43" s="45">
        <v>5516975</v>
      </c>
      <c r="H43" s="49">
        <f t="shared" si="1"/>
        <v>11033950</v>
      </c>
      <c r="K43" s="54">
        <f>'Fælles adm.'!I44</f>
        <v>2226850</v>
      </c>
      <c r="L43" s="54">
        <f>Odense!I44</f>
        <v>1761420</v>
      </c>
      <c r="M43" s="54">
        <f>Laks!I44</f>
        <v>0</v>
      </c>
      <c r="N43" s="54">
        <f>Assens!I44</f>
        <v>1761420</v>
      </c>
      <c r="O43" s="54">
        <f>Nyborg!I44</f>
        <v>1761420</v>
      </c>
      <c r="P43" s="54">
        <f>Nordfyn!I44</f>
        <v>1761420</v>
      </c>
      <c r="Q43" s="54">
        <f>Kerteminde!I44</f>
        <v>1761420</v>
      </c>
      <c r="R43" s="54">
        <f>'Særlige tilskud'!I44</f>
        <v>0</v>
      </c>
    </row>
    <row r="44" spans="1:18" x14ac:dyDescent="0.25">
      <c r="A44" s="42" t="s">
        <v>63</v>
      </c>
      <c r="B44" s="42" t="s">
        <v>64</v>
      </c>
      <c r="C44" s="45">
        <v>12016817.16</v>
      </c>
      <c r="D44" s="45">
        <v>11396646</v>
      </c>
      <c r="E44" s="45">
        <v>-5.44</v>
      </c>
      <c r="F44" s="45">
        <v>105.44</v>
      </c>
      <c r="G44" s="45">
        <v>-620171.16</v>
      </c>
      <c r="H44" s="49">
        <f t="shared" si="1"/>
        <v>10612902.510000002</v>
      </c>
      <c r="K44" s="52"/>
      <c r="L44" s="52">
        <f>Odense!I45</f>
        <v>528770.14</v>
      </c>
      <c r="M44" s="52"/>
      <c r="N44" s="52"/>
      <c r="O44" s="52"/>
      <c r="P44" s="52"/>
      <c r="Q44" s="52"/>
      <c r="R44" s="54">
        <f>'Særlige tilskud'!I45</f>
        <v>10084132.370000001</v>
      </c>
    </row>
    <row r="45" spans="1:18" x14ac:dyDescent="0.25">
      <c r="A45" s="43" t="s">
        <v>65</v>
      </c>
      <c r="B45" s="43" t="s">
        <v>66</v>
      </c>
      <c r="C45" s="46">
        <v>46576460.770000003</v>
      </c>
      <c r="D45" s="46">
        <v>90947976.510000005</v>
      </c>
      <c r="E45" s="46">
        <v>48.79</v>
      </c>
      <c r="F45" s="46">
        <v>51.21</v>
      </c>
      <c r="G45" s="46">
        <v>44371515.740000002</v>
      </c>
      <c r="H45" s="50">
        <f t="shared" si="1"/>
        <v>79521201.560000002</v>
      </c>
      <c r="K45" s="55">
        <f>'Fælles adm.'!I46</f>
        <v>2226850</v>
      </c>
      <c r="L45" s="55">
        <f>Odense!I46</f>
        <v>26701077.614952132</v>
      </c>
      <c r="M45" s="55">
        <f>Laks!I46</f>
        <v>0</v>
      </c>
      <c r="N45" s="55">
        <f>Assens!I46</f>
        <v>9948904.7719312049</v>
      </c>
      <c r="O45" s="55">
        <f>Nyborg!I46</f>
        <v>9288563.3756021392</v>
      </c>
      <c r="P45" s="55">
        <f>Nordfyn!I46</f>
        <v>10578347.462213119</v>
      </c>
      <c r="Q45" s="55">
        <f>Kerteminde!I46</f>
        <v>10693325.965301402</v>
      </c>
      <c r="R45" s="55">
        <f>'Særlige tilskud'!I46</f>
        <v>10084132.370000001</v>
      </c>
    </row>
    <row r="46" spans="1:18" x14ac:dyDescent="0.25">
      <c r="A46" s="42" t="s">
        <v>12</v>
      </c>
      <c r="B46" s="42" t="s">
        <v>12</v>
      </c>
      <c r="H46" s="49"/>
      <c r="K46" s="52"/>
      <c r="L46" s="52"/>
      <c r="M46" s="52"/>
      <c r="N46" s="52"/>
      <c r="O46" s="52"/>
      <c r="P46" s="52"/>
      <c r="Q46" s="52"/>
      <c r="R46" s="52"/>
    </row>
    <row r="47" spans="1:18" x14ac:dyDescent="0.25">
      <c r="A47" s="43" t="s">
        <v>67</v>
      </c>
      <c r="B47" s="43" t="s">
        <v>68</v>
      </c>
      <c r="C47" s="46"/>
      <c r="D47" s="46"/>
      <c r="E47" s="46"/>
      <c r="F47" s="46"/>
      <c r="G47" s="46"/>
      <c r="H47" s="50"/>
      <c r="K47" s="52"/>
      <c r="L47" s="52"/>
      <c r="M47" s="52"/>
      <c r="N47" s="52"/>
      <c r="O47" s="52"/>
      <c r="P47" s="52"/>
      <c r="Q47" s="52"/>
      <c r="R47" s="52"/>
    </row>
    <row r="48" spans="1:18" x14ac:dyDescent="0.25">
      <c r="A48" s="42" t="s">
        <v>69</v>
      </c>
      <c r="B48" s="42" t="s">
        <v>70</v>
      </c>
      <c r="H48" s="49"/>
      <c r="K48" s="54">
        <f>'Fælles adm.'!I49</f>
        <v>0</v>
      </c>
      <c r="L48" s="54">
        <f>Odense!I49</f>
        <v>0</v>
      </c>
      <c r="M48" s="54">
        <f>Laks!I49</f>
        <v>0</v>
      </c>
      <c r="N48" s="54">
        <f>Assens!I49</f>
        <v>0</v>
      </c>
      <c r="O48" s="54">
        <f>Nyborg!I49</f>
        <v>0</v>
      </c>
      <c r="P48" s="54">
        <f>Nordfyn!I49</f>
        <v>0</v>
      </c>
      <c r="Q48" s="54">
        <f>Kerteminde!I49</f>
        <v>0</v>
      </c>
      <c r="R48" s="54">
        <f>'Særlige tilskud'!I49</f>
        <v>0</v>
      </c>
    </row>
    <row r="49" spans="1:18" x14ac:dyDescent="0.25">
      <c r="A49" s="42" t="s">
        <v>71</v>
      </c>
      <c r="B49" s="42" t="s">
        <v>72</v>
      </c>
      <c r="C49" s="45">
        <v>115226.65</v>
      </c>
      <c r="G49" s="45">
        <v>-115226.65</v>
      </c>
      <c r="H49" s="49">
        <f t="shared" ref="H49:H58" si="2">SUM(K49:R49)</f>
        <v>0</v>
      </c>
      <c r="K49" s="54">
        <f>'Fælles adm.'!I50</f>
        <v>0</v>
      </c>
      <c r="L49" s="54">
        <f>Odense!I50</f>
        <v>0</v>
      </c>
      <c r="M49" s="54">
        <f>Laks!I50</f>
        <v>0</v>
      </c>
      <c r="N49" s="54">
        <f>Assens!I50</f>
        <v>0</v>
      </c>
      <c r="O49" s="54">
        <f>Nyborg!I50</f>
        <v>0</v>
      </c>
      <c r="P49" s="54">
        <f>Nordfyn!I50</f>
        <v>0</v>
      </c>
      <c r="Q49" s="54">
        <f>Kerteminde!I50</f>
        <v>0</v>
      </c>
      <c r="R49" s="54">
        <f>'Særlige tilskud'!I50</f>
        <v>0</v>
      </c>
    </row>
    <row r="50" spans="1:18" x14ac:dyDescent="0.25">
      <c r="A50" s="42" t="s">
        <v>73</v>
      </c>
      <c r="B50" s="42" t="s">
        <v>74</v>
      </c>
      <c r="D50" s="45">
        <v>301747</v>
      </c>
      <c r="E50" s="45">
        <v>100</v>
      </c>
      <c r="G50" s="45">
        <v>301747</v>
      </c>
      <c r="H50" s="49">
        <f t="shared" si="2"/>
        <v>0</v>
      </c>
      <c r="K50" s="54">
        <f>'Fælles adm.'!I51</f>
        <v>0</v>
      </c>
      <c r="L50" s="54">
        <f>Odense!I51</f>
        <v>0</v>
      </c>
      <c r="M50" s="54">
        <f>Laks!I51</f>
        <v>0</v>
      </c>
      <c r="N50" s="54">
        <f>Assens!I51</f>
        <v>0</v>
      </c>
      <c r="O50" s="54">
        <f>Nyborg!I51</f>
        <v>0</v>
      </c>
      <c r="P50" s="54">
        <f>Nordfyn!I51</f>
        <v>0</v>
      </c>
      <c r="Q50" s="54">
        <f>Kerteminde!I51</f>
        <v>0</v>
      </c>
      <c r="R50" s="54">
        <f>'Særlige tilskud'!I51</f>
        <v>0</v>
      </c>
    </row>
    <row r="51" spans="1:18" x14ac:dyDescent="0.25">
      <c r="A51" s="42" t="s">
        <v>75</v>
      </c>
      <c r="B51" s="42" t="s">
        <v>76</v>
      </c>
      <c r="C51" s="45">
        <v>151069.5</v>
      </c>
      <c r="G51" s="45">
        <v>-151069.5</v>
      </c>
      <c r="H51" s="49">
        <f t="shared" si="2"/>
        <v>151069.5</v>
      </c>
      <c r="K51" s="54">
        <f>'Fælles adm.'!I52</f>
        <v>0</v>
      </c>
      <c r="L51" s="54">
        <f>Odense!I52</f>
        <v>27187.5</v>
      </c>
      <c r="M51" s="54">
        <f>Laks!I52</f>
        <v>0</v>
      </c>
      <c r="N51" s="54">
        <f>Assens!I52</f>
        <v>18000</v>
      </c>
      <c r="O51" s="54">
        <f>Nyborg!I52</f>
        <v>0</v>
      </c>
      <c r="P51" s="54">
        <f>Nordfyn!I52</f>
        <v>105882</v>
      </c>
      <c r="Q51" s="54">
        <f>Kerteminde!I52</f>
        <v>0</v>
      </c>
      <c r="R51" s="54">
        <f>'Særlige tilskud'!I52</f>
        <v>0</v>
      </c>
    </row>
    <row r="52" spans="1:18" x14ac:dyDescent="0.25">
      <c r="A52" s="42" t="s">
        <v>77</v>
      </c>
      <c r="B52" s="42" t="s">
        <v>78</v>
      </c>
      <c r="C52" s="45">
        <v>4800</v>
      </c>
      <c r="D52" s="45">
        <v>26000</v>
      </c>
      <c r="E52" s="45">
        <v>81.540000000000006</v>
      </c>
      <c r="F52" s="45">
        <v>18.46</v>
      </c>
      <c r="G52" s="45">
        <v>21200</v>
      </c>
      <c r="H52" s="49">
        <f t="shared" si="2"/>
        <v>26000</v>
      </c>
      <c r="K52" s="54">
        <f>'Fælles adm.'!I53</f>
        <v>0</v>
      </c>
      <c r="L52" s="54">
        <f>Odense!I53</f>
        <v>16000</v>
      </c>
      <c r="M52" s="54">
        <f>Laks!I53</f>
        <v>0</v>
      </c>
      <c r="N52" s="54">
        <f>Assens!I53</f>
        <v>0</v>
      </c>
      <c r="O52" s="54">
        <f>Nyborg!I53</f>
        <v>0</v>
      </c>
      <c r="P52" s="54">
        <f>Nordfyn!I53</f>
        <v>10000</v>
      </c>
      <c r="Q52" s="54">
        <f>Kerteminde!I53</f>
        <v>0</v>
      </c>
      <c r="R52" s="54">
        <f>'Særlige tilskud'!I53</f>
        <v>0</v>
      </c>
    </row>
    <row r="53" spans="1:18" x14ac:dyDescent="0.25">
      <c r="A53" s="42" t="s">
        <v>79</v>
      </c>
      <c r="B53" s="42" t="s">
        <v>80</v>
      </c>
      <c r="C53" s="45">
        <v>13500</v>
      </c>
      <c r="G53" s="45">
        <v>-13500</v>
      </c>
      <c r="H53" s="49">
        <f t="shared" si="2"/>
        <v>13500</v>
      </c>
      <c r="K53" s="54">
        <f>'Fælles adm.'!I54</f>
        <v>0</v>
      </c>
      <c r="L53" s="54">
        <f>Odense!I54</f>
        <v>0</v>
      </c>
      <c r="M53" s="54">
        <f>Laks!I54</f>
        <v>0</v>
      </c>
      <c r="N53" s="54">
        <f>Assens!I54</f>
        <v>0</v>
      </c>
      <c r="O53" s="54">
        <f>Nyborg!I54</f>
        <v>0</v>
      </c>
      <c r="P53" s="54">
        <f>Nordfyn!I54</f>
        <v>0</v>
      </c>
      <c r="Q53" s="54">
        <f>Kerteminde!I54</f>
        <v>13500</v>
      </c>
      <c r="R53" s="54">
        <f>'Særlige tilskud'!I54</f>
        <v>0</v>
      </c>
    </row>
    <row r="54" spans="1:18" x14ac:dyDescent="0.25">
      <c r="A54" s="42" t="s">
        <v>81</v>
      </c>
      <c r="B54" s="42" t="s">
        <v>82</v>
      </c>
      <c r="C54" s="45">
        <v>2966638.5</v>
      </c>
      <c r="D54" s="45">
        <v>3277907.67</v>
      </c>
      <c r="E54" s="45">
        <v>9.5</v>
      </c>
      <c r="F54" s="45">
        <v>90.5</v>
      </c>
      <c r="G54" s="45">
        <v>311269.17</v>
      </c>
      <c r="H54" s="49">
        <f t="shared" si="2"/>
        <v>3083128.8</v>
      </c>
      <c r="K54" s="54">
        <f>'Fælles adm.'!I55</f>
        <v>0</v>
      </c>
      <c r="L54" s="54">
        <f>Odense!I55</f>
        <v>12432</v>
      </c>
      <c r="M54" s="54">
        <f>Laks!I55</f>
        <v>3041500</v>
      </c>
      <c r="N54" s="54">
        <f>Assens!I55</f>
        <v>5196.8</v>
      </c>
      <c r="O54" s="54">
        <f>Nyborg!I55</f>
        <v>0</v>
      </c>
      <c r="P54" s="54">
        <f>Nordfyn!I55</f>
        <v>24000</v>
      </c>
      <c r="Q54" s="54">
        <f>Kerteminde!I55</f>
        <v>0</v>
      </c>
      <c r="R54" s="54">
        <f>'Særlige tilskud'!I55</f>
        <v>0</v>
      </c>
    </row>
    <row r="55" spans="1:18" x14ac:dyDescent="0.25">
      <c r="A55" s="42" t="s">
        <v>83</v>
      </c>
      <c r="B55" s="42" t="s">
        <v>84</v>
      </c>
      <c r="C55" s="45">
        <v>43400.3</v>
      </c>
      <c r="D55" s="45">
        <v>1520321</v>
      </c>
      <c r="E55" s="45">
        <v>97.15</v>
      </c>
      <c r="F55" s="45">
        <v>2.85</v>
      </c>
      <c r="G55" s="45">
        <v>1476920.7</v>
      </c>
      <c r="H55" s="49">
        <f t="shared" si="2"/>
        <v>1520321</v>
      </c>
      <c r="K55" s="54">
        <f>'Fælles adm.'!I56</f>
        <v>0</v>
      </c>
      <c r="L55" s="54">
        <f>Odense!I56</f>
        <v>500000</v>
      </c>
      <c r="M55" s="54">
        <f>Laks!I56</f>
        <v>0</v>
      </c>
      <c r="N55" s="54">
        <f>Assens!I56</f>
        <v>400000</v>
      </c>
      <c r="O55" s="54">
        <f>Nyborg!I56</f>
        <v>75000</v>
      </c>
      <c r="P55" s="54">
        <f>Nordfyn!I56</f>
        <v>350000</v>
      </c>
      <c r="Q55" s="54">
        <f>Kerteminde!I56</f>
        <v>195321</v>
      </c>
      <c r="R55" s="54">
        <f>'Særlige tilskud'!I56</f>
        <v>0</v>
      </c>
    </row>
    <row r="56" spans="1:18" x14ac:dyDescent="0.25">
      <c r="A56" s="42" t="s">
        <v>85</v>
      </c>
      <c r="B56" s="42" t="s">
        <v>86</v>
      </c>
      <c r="C56" s="45">
        <v>6600</v>
      </c>
      <c r="G56" s="45">
        <v>-6600</v>
      </c>
      <c r="H56" s="49">
        <f t="shared" si="2"/>
        <v>250</v>
      </c>
      <c r="K56" s="54">
        <f>'Fælles adm.'!I57</f>
        <v>0</v>
      </c>
      <c r="L56" s="54">
        <f>Odense!I57</f>
        <v>0</v>
      </c>
      <c r="M56" s="54">
        <f>Laks!I57</f>
        <v>0</v>
      </c>
      <c r="N56" s="54">
        <f>Assens!I57</f>
        <v>0</v>
      </c>
      <c r="O56" s="54">
        <f>Nyborg!I57</f>
        <v>0</v>
      </c>
      <c r="P56" s="54">
        <f>Nordfyn!I57</f>
        <v>250</v>
      </c>
      <c r="Q56" s="54">
        <f>Kerteminde!I57</f>
        <v>0</v>
      </c>
      <c r="R56" s="54">
        <f>'Særlige tilskud'!I57</f>
        <v>0</v>
      </c>
    </row>
    <row r="57" spans="1:18" x14ac:dyDescent="0.25">
      <c r="A57" s="42" t="s">
        <v>87</v>
      </c>
      <c r="B57" s="42" t="s">
        <v>88</v>
      </c>
      <c r="C57" s="45">
        <v>9254.1</v>
      </c>
      <c r="D57" s="45">
        <v>513320</v>
      </c>
      <c r="E57" s="45">
        <v>98.2</v>
      </c>
      <c r="F57" s="45">
        <v>1.8</v>
      </c>
      <c r="G57" s="45">
        <v>504065.9</v>
      </c>
      <c r="H57" s="49">
        <f t="shared" si="2"/>
        <v>667774.1</v>
      </c>
      <c r="K57" s="54">
        <f>'Fælles adm.'!I58</f>
        <v>0</v>
      </c>
      <c r="L57" s="54">
        <f>Odense!I58</f>
        <v>4454.1000000000004</v>
      </c>
      <c r="M57" s="54">
        <f>Laks!I58</f>
        <v>0</v>
      </c>
      <c r="N57" s="54">
        <f>Assens!I58</f>
        <v>330000</v>
      </c>
      <c r="O57" s="54">
        <f>Nyborg!I58</f>
        <v>77000</v>
      </c>
      <c r="P57" s="54">
        <f>Nordfyn!I58</f>
        <v>177480</v>
      </c>
      <c r="Q57" s="54">
        <f>Kerteminde!I58</f>
        <v>78840</v>
      </c>
      <c r="R57" s="54">
        <f>'Særlige tilskud'!I58</f>
        <v>0</v>
      </c>
    </row>
    <row r="58" spans="1:18" x14ac:dyDescent="0.25">
      <c r="A58" s="43" t="s">
        <v>89</v>
      </c>
      <c r="B58" s="43" t="s">
        <v>17</v>
      </c>
      <c r="C58" s="46">
        <v>3310489.05</v>
      </c>
      <c r="D58" s="46">
        <v>5639295.6699999999</v>
      </c>
      <c r="E58" s="46">
        <v>41.3</v>
      </c>
      <c r="F58" s="46">
        <v>58.7</v>
      </c>
      <c r="G58" s="46">
        <v>2328806.62</v>
      </c>
      <c r="H58" s="50">
        <f t="shared" si="2"/>
        <v>5462043.4000000004</v>
      </c>
      <c r="K58" s="55">
        <f>'Fælles adm.'!I59</f>
        <v>0</v>
      </c>
      <c r="L58" s="55">
        <f>Odense!I59</f>
        <v>560073.6</v>
      </c>
      <c r="M58" s="55">
        <f>Laks!I59</f>
        <v>3041500</v>
      </c>
      <c r="N58" s="55">
        <f>Assens!I59</f>
        <v>753196.8</v>
      </c>
      <c r="O58" s="55">
        <f>Nyborg!I59</f>
        <v>152000</v>
      </c>
      <c r="P58" s="55">
        <f>Nordfyn!I59</f>
        <v>667612</v>
      </c>
      <c r="Q58" s="55">
        <f>Kerteminde!I59</f>
        <v>287661</v>
      </c>
      <c r="R58" s="55">
        <f>'Særlige tilskud'!I59</f>
        <v>0</v>
      </c>
    </row>
    <row r="59" spans="1:18" x14ac:dyDescent="0.25">
      <c r="A59" s="42" t="s">
        <v>12</v>
      </c>
      <c r="B59" s="42" t="s">
        <v>12</v>
      </c>
      <c r="H59" s="49"/>
      <c r="K59" s="52"/>
      <c r="L59" s="52">
        <f>Odense!I60</f>
        <v>0</v>
      </c>
      <c r="M59" s="52"/>
      <c r="N59" s="52"/>
      <c r="O59" s="52"/>
      <c r="P59" s="52"/>
      <c r="Q59" s="52"/>
      <c r="R59" s="52"/>
    </row>
    <row r="60" spans="1:18" x14ac:dyDescent="0.25">
      <c r="A60" s="43" t="s">
        <v>90</v>
      </c>
      <c r="B60" s="43" t="s">
        <v>91</v>
      </c>
      <c r="C60" s="46"/>
      <c r="D60" s="46"/>
      <c r="E60" s="46"/>
      <c r="F60" s="46"/>
      <c r="G60" s="46"/>
      <c r="H60" s="50"/>
      <c r="K60" s="52"/>
      <c r="L60" s="52">
        <f>Odense!I61</f>
        <v>0</v>
      </c>
      <c r="M60" s="52"/>
      <c r="N60" s="52"/>
      <c r="O60" s="52"/>
      <c r="P60" s="52"/>
      <c r="Q60" s="52"/>
      <c r="R60" s="52"/>
    </row>
    <row r="61" spans="1:18" x14ac:dyDescent="0.25">
      <c r="A61" s="42" t="s">
        <v>92</v>
      </c>
      <c r="B61" s="42" t="s">
        <v>93</v>
      </c>
      <c r="C61" s="45">
        <v>362884.2</v>
      </c>
      <c r="G61" s="45">
        <v>-362884.2</v>
      </c>
      <c r="H61" s="49">
        <f>SUM(K61:R61)</f>
        <v>693721.35000000009</v>
      </c>
      <c r="K61" s="54">
        <f>'Fælles adm.'!I62</f>
        <v>0</v>
      </c>
      <c r="L61" s="54">
        <f>Odense!I62</f>
        <v>469392</v>
      </c>
      <c r="M61" s="54">
        <f>Laks!I62</f>
        <v>0</v>
      </c>
      <c r="N61" s="54">
        <f>Assens!I62</f>
        <v>0</v>
      </c>
      <c r="O61" s="54">
        <f>Nyborg!I62</f>
        <v>22758.05</v>
      </c>
      <c r="P61" s="54">
        <f>Nordfyn!I62</f>
        <v>51089.5</v>
      </c>
      <c r="Q61" s="54">
        <f>Kerteminde!I62</f>
        <v>150481.79999999999</v>
      </c>
      <c r="R61" s="54">
        <f>'Særlige tilskud'!I62</f>
        <v>0</v>
      </c>
    </row>
    <row r="62" spans="1:18" x14ac:dyDescent="0.25">
      <c r="A62" s="43" t="s">
        <v>94</v>
      </c>
      <c r="B62" s="43" t="s">
        <v>95</v>
      </c>
      <c r="C62" s="46">
        <v>362884.2</v>
      </c>
      <c r="D62" s="46"/>
      <c r="E62" s="46"/>
      <c r="F62" s="46"/>
      <c r="G62" s="46">
        <v>-362884.2</v>
      </c>
      <c r="H62" s="5">
        <f>SUM(K62:R62)</f>
        <v>693721.35000000009</v>
      </c>
      <c r="K62" s="8">
        <f>'Fælles adm.'!I63</f>
        <v>0</v>
      </c>
      <c r="L62" s="8">
        <f>Odense!I63</f>
        <v>469392</v>
      </c>
      <c r="M62" s="8">
        <f>Laks!I63</f>
        <v>0</v>
      </c>
      <c r="N62" s="8">
        <f>Assens!I63</f>
        <v>0</v>
      </c>
      <c r="O62" s="8">
        <f>Nyborg!I63</f>
        <v>22758.05</v>
      </c>
      <c r="P62" s="8">
        <f>Nordfyn!I63</f>
        <v>51089.5</v>
      </c>
      <c r="Q62" s="8">
        <f>Kerteminde!I63</f>
        <v>150481.79999999999</v>
      </c>
      <c r="R62" s="8">
        <f>'Særlige tilskud'!I63</f>
        <v>0</v>
      </c>
    </row>
    <row r="63" spans="1:18" x14ac:dyDescent="0.25">
      <c r="A63" s="42" t="s">
        <v>12</v>
      </c>
      <c r="B63" s="42" t="s">
        <v>12</v>
      </c>
      <c r="H63" s="48"/>
      <c r="K63" s="52"/>
      <c r="L63" s="52"/>
      <c r="M63" s="52"/>
      <c r="N63" s="52"/>
      <c r="O63" s="52"/>
      <c r="P63" s="52"/>
      <c r="Q63" s="52"/>
      <c r="R63" s="52"/>
    </row>
    <row r="64" spans="1:18" x14ac:dyDescent="0.25">
      <c r="A64" s="43" t="s">
        <v>96</v>
      </c>
      <c r="B64" s="43" t="s">
        <v>97</v>
      </c>
      <c r="C64" s="46">
        <v>50249834.020000003</v>
      </c>
      <c r="D64" s="46">
        <v>96587272.180000007</v>
      </c>
      <c r="E64" s="46">
        <v>47.97</v>
      </c>
      <c r="F64" s="46">
        <v>52.03</v>
      </c>
      <c r="G64" s="46">
        <v>46337438.159999996</v>
      </c>
      <c r="H64" s="5">
        <f>SUM(K64:R64)</f>
        <v>85676966.310000002</v>
      </c>
      <c r="K64" s="8">
        <f>'Fælles adm.'!I65</f>
        <v>2226850</v>
      </c>
      <c r="L64" s="8">
        <f>Odense!I65</f>
        <v>27730543.214952134</v>
      </c>
      <c r="M64" s="8">
        <f>Laks!I65</f>
        <v>3041500</v>
      </c>
      <c r="N64" s="8">
        <f>Assens!I65</f>
        <v>10702101.571931206</v>
      </c>
      <c r="O64" s="8">
        <f>Nyborg!I65</f>
        <v>9463321.4256021399</v>
      </c>
      <c r="P64" s="8">
        <f>Nordfyn!I65</f>
        <v>11297048.962213119</v>
      </c>
      <c r="Q64" s="8">
        <f>Kerteminde!I65</f>
        <v>11131468.765301403</v>
      </c>
      <c r="R64" s="8">
        <f>'Særlige tilskud'!I65</f>
        <v>10084132.370000001</v>
      </c>
    </row>
    <row r="65" spans="1:18" x14ac:dyDescent="0.25">
      <c r="A65" s="42" t="s">
        <v>12</v>
      </c>
      <c r="B65" s="42" t="s">
        <v>12</v>
      </c>
      <c r="H65" s="48"/>
      <c r="K65" s="52"/>
      <c r="L65" s="52"/>
      <c r="M65" s="52"/>
      <c r="N65" s="52"/>
      <c r="O65" s="52"/>
      <c r="P65" s="52"/>
      <c r="Q65" s="52"/>
      <c r="R65" s="52"/>
    </row>
    <row r="66" spans="1:18" x14ac:dyDescent="0.25">
      <c r="A66" s="43" t="s">
        <v>98</v>
      </c>
      <c r="B66" s="43" t="s">
        <v>99</v>
      </c>
      <c r="C66" s="46"/>
      <c r="D66" s="46"/>
      <c r="E66" s="46"/>
      <c r="F66" s="46"/>
      <c r="G66" s="46"/>
      <c r="H66" s="5"/>
      <c r="K66" s="8"/>
      <c r="L66" s="8"/>
      <c r="M66" s="8"/>
      <c r="N66" s="8"/>
      <c r="O66" s="8"/>
      <c r="P66" s="8"/>
      <c r="Q66" s="8"/>
      <c r="R66" s="8"/>
    </row>
    <row r="67" spans="1:18" x14ac:dyDescent="0.25">
      <c r="A67" s="42" t="s">
        <v>100</v>
      </c>
      <c r="B67" s="42" t="s">
        <v>101</v>
      </c>
      <c r="H67" s="48">
        <f>SUM(K67:R67)</f>
        <v>0</v>
      </c>
      <c r="K67" s="52"/>
      <c r="L67" s="52">
        <f>Odense!I68</f>
        <v>0</v>
      </c>
      <c r="M67" s="52"/>
      <c r="N67" s="52"/>
      <c r="O67" s="52"/>
      <c r="P67" s="52"/>
      <c r="Q67" s="52"/>
      <c r="R67" s="52"/>
    </row>
    <row r="68" spans="1:18" x14ac:dyDescent="0.25">
      <c r="A68" s="42" t="s">
        <v>102</v>
      </c>
      <c r="B68" s="42" t="s">
        <v>103</v>
      </c>
      <c r="H68" s="48">
        <f>SUM(K68:R68)</f>
        <v>0</v>
      </c>
      <c r="K68" s="52">
        <f>'Fælles adm.'!I69</f>
        <v>0</v>
      </c>
      <c r="L68" s="52">
        <f>Odense!I69</f>
        <v>0</v>
      </c>
      <c r="M68" s="52">
        <f>Laks!I69</f>
        <v>0</v>
      </c>
      <c r="N68" s="52">
        <f>Assens!I69</f>
        <v>0</v>
      </c>
      <c r="O68" s="52">
        <f>Nyborg!I69</f>
        <v>0</v>
      </c>
      <c r="P68" s="52">
        <f>Nordfyn!I69</f>
        <v>0</v>
      </c>
      <c r="Q68" s="52">
        <f>Kerteminde!I69</f>
        <v>0</v>
      </c>
      <c r="R68" s="52">
        <f>'Særlige tilskud'!I69</f>
        <v>0</v>
      </c>
    </row>
    <row r="69" spans="1:18" x14ac:dyDescent="0.25">
      <c r="A69" s="43" t="s">
        <v>104</v>
      </c>
      <c r="B69" s="43" t="s">
        <v>105</v>
      </c>
      <c r="C69" s="46"/>
      <c r="D69" s="46"/>
      <c r="E69" s="46"/>
      <c r="F69" s="46"/>
      <c r="G69" s="46"/>
      <c r="H69" s="5">
        <f>SUM(K69:R69)</f>
        <v>0</v>
      </c>
      <c r="K69" s="8">
        <f>'Fælles adm.'!I70</f>
        <v>0</v>
      </c>
      <c r="L69" s="8">
        <f>Odense!I70</f>
        <v>0</v>
      </c>
      <c r="M69" s="8">
        <f>Laks!I70</f>
        <v>0</v>
      </c>
      <c r="N69" s="8">
        <f>Assens!I70</f>
        <v>0</v>
      </c>
      <c r="O69" s="8">
        <f>Nyborg!I70</f>
        <v>0</v>
      </c>
      <c r="P69" s="8">
        <f>Nordfyn!I70</f>
        <v>0</v>
      </c>
      <c r="Q69" s="8">
        <f>Kerteminde!I70</f>
        <v>0</v>
      </c>
      <c r="R69" s="8">
        <f>'Særlige tilskud'!I70</f>
        <v>0</v>
      </c>
    </row>
    <row r="70" spans="1:18" x14ac:dyDescent="0.25">
      <c r="A70" s="42" t="s">
        <v>12</v>
      </c>
      <c r="B70" s="42" t="s">
        <v>12</v>
      </c>
      <c r="H70" s="48"/>
      <c r="K70" s="52"/>
      <c r="L70" s="52"/>
      <c r="M70" s="52"/>
      <c r="N70" s="52"/>
      <c r="O70" s="52"/>
      <c r="P70" s="52"/>
      <c r="Q70" s="52"/>
      <c r="R70" s="52"/>
    </row>
    <row r="71" spans="1:18" x14ac:dyDescent="0.25">
      <c r="A71" s="43" t="s">
        <v>106</v>
      </c>
      <c r="B71" s="43" t="s">
        <v>107</v>
      </c>
      <c r="C71" s="46"/>
      <c r="D71" s="46"/>
      <c r="E71" s="46"/>
      <c r="F71" s="46"/>
      <c r="G71" s="46"/>
      <c r="H71" s="5"/>
      <c r="K71" s="52"/>
      <c r="L71" s="52"/>
      <c r="M71" s="52"/>
      <c r="N71" s="52"/>
      <c r="O71" s="52"/>
      <c r="P71" s="52"/>
      <c r="Q71" s="52"/>
      <c r="R71" s="52"/>
    </row>
    <row r="72" spans="1:18" x14ac:dyDescent="0.25">
      <c r="A72" s="42" t="s">
        <v>108</v>
      </c>
      <c r="B72" s="42" t="s">
        <v>109</v>
      </c>
      <c r="C72" s="45">
        <v>-67991</v>
      </c>
      <c r="D72" s="45">
        <v>-518200</v>
      </c>
      <c r="E72" s="45">
        <v>86.88</v>
      </c>
      <c r="F72" s="45">
        <v>13.12</v>
      </c>
      <c r="G72" s="45">
        <v>-450209</v>
      </c>
      <c r="H72" s="48">
        <f>SUM(K72:R72)</f>
        <v>-140000</v>
      </c>
      <c r="K72" s="52">
        <f>'Fælles adm.'!I73</f>
        <v>0</v>
      </c>
      <c r="L72" s="52">
        <f>Odense!I73</f>
        <v>0</v>
      </c>
      <c r="M72" s="52">
        <f>Laks!I73</f>
        <v>0</v>
      </c>
      <c r="N72" s="52">
        <f>Assens!I73</f>
        <v>0</v>
      </c>
      <c r="O72" s="52">
        <f>Nyborg!I73</f>
        <v>-140000</v>
      </c>
      <c r="P72" s="52">
        <f>Nordfyn!I73</f>
        <v>0</v>
      </c>
      <c r="Q72" s="52">
        <f>Kerteminde!I73</f>
        <v>0</v>
      </c>
      <c r="R72" s="52">
        <f>'Særlige tilskud'!I73</f>
        <v>0</v>
      </c>
    </row>
    <row r="73" spans="1:18" x14ac:dyDescent="0.25">
      <c r="A73" s="42" t="s">
        <v>110</v>
      </c>
      <c r="B73" s="42" t="s">
        <v>111</v>
      </c>
      <c r="C73" s="45">
        <v>-22937.919999999998</v>
      </c>
      <c r="G73" s="45">
        <v>22937.919999999998</v>
      </c>
      <c r="H73" s="48">
        <f>SUM(K73:R73)</f>
        <v>-22937.919999999998</v>
      </c>
      <c r="K73" s="52">
        <f>'Fælles adm.'!I74</f>
        <v>0</v>
      </c>
      <c r="L73" s="52">
        <f>Odense!I74</f>
        <v>-10796.67</v>
      </c>
      <c r="M73" s="52">
        <f>Laks!I74</f>
        <v>0</v>
      </c>
      <c r="N73" s="52">
        <f>Assens!I74</f>
        <v>0</v>
      </c>
      <c r="O73" s="52">
        <f>Nyborg!I74</f>
        <v>-12141.25</v>
      </c>
      <c r="P73" s="52">
        <f>Nordfyn!I74</f>
        <v>0</v>
      </c>
      <c r="Q73" s="52">
        <f>Kerteminde!I74</f>
        <v>0</v>
      </c>
      <c r="R73" s="52">
        <f>'Særlige tilskud'!I74</f>
        <v>0</v>
      </c>
    </row>
    <row r="74" spans="1:18" x14ac:dyDescent="0.25">
      <c r="A74" s="42" t="s">
        <v>112</v>
      </c>
      <c r="B74" s="42" t="s">
        <v>113</v>
      </c>
      <c r="C74" s="45">
        <v>-32724</v>
      </c>
      <c r="D74" s="45">
        <v>-37660</v>
      </c>
      <c r="E74" s="45">
        <v>13.11</v>
      </c>
      <c r="F74" s="45">
        <v>86.89</v>
      </c>
      <c r="G74" s="45">
        <v>-4936</v>
      </c>
      <c r="H74" s="48">
        <f>SUM(K74:R74)</f>
        <v>-51554</v>
      </c>
      <c r="K74" s="52">
        <f>'Fælles adm.'!I75</f>
        <v>0</v>
      </c>
      <c r="L74" s="52">
        <f>Odense!I75</f>
        <v>0</v>
      </c>
      <c r="M74" s="52">
        <f>Laks!I75</f>
        <v>0</v>
      </c>
      <c r="N74" s="52">
        <f>Assens!I75</f>
        <v>0</v>
      </c>
      <c r="O74" s="52">
        <f>Nyborg!I75</f>
        <v>-9713</v>
      </c>
      <c r="P74" s="52">
        <f>Nordfyn!I75</f>
        <v>-4181</v>
      </c>
      <c r="Q74" s="52">
        <f>Kerteminde!I75</f>
        <v>-37660</v>
      </c>
      <c r="R74" s="52">
        <f>'Særlige tilskud'!I75</f>
        <v>0</v>
      </c>
    </row>
    <row r="75" spans="1:18" x14ac:dyDescent="0.25">
      <c r="A75" s="42" t="s">
        <v>114</v>
      </c>
      <c r="B75" s="42" t="s">
        <v>115</v>
      </c>
      <c r="C75" s="45">
        <v>-335577.22</v>
      </c>
      <c r="D75" s="45">
        <v>-495746</v>
      </c>
      <c r="E75" s="45">
        <v>32.31</v>
      </c>
      <c r="F75" s="45">
        <v>67.69</v>
      </c>
      <c r="G75" s="45">
        <v>-160168.78</v>
      </c>
      <c r="H75" s="48">
        <f>SUM(K75:R75)</f>
        <v>-636390.05000000005</v>
      </c>
      <c r="K75" s="52">
        <f>'Fælles adm.'!I76</f>
        <v>0</v>
      </c>
      <c r="L75" s="52">
        <f>Odense!I76</f>
        <v>-2748.2</v>
      </c>
      <c r="M75" s="52">
        <f>Laks!I76</f>
        <v>-5496.4</v>
      </c>
      <c r="N75" s="52">
        <f>Assens!I76</f>
        <v>-168399.45</v>
      </c>
      <c r="O75" s="52">
        <f>Nyborg!I76</f>
        <v>-5000</v>
      </c>
      <c r="P75" s="52">
        <f>Nordfyn!I76</f>
        <v>-309146</v>
      </c>
      <c r="Q75" s="52">
        <f>Kerteminde!I76</f>
        <v>-145600</v>
      </c>
      <c r="R75" s="52">
        <f>'Særlige tilskud'!I76</f>
        <v>0</v>
      </c>
    </row>
    <row r="76" spans="1:18" x14ac:dyDescent="0.25">
      <c r="A76" s="43" t="s">
        <v>116</v>
      </c>
      <c r="B76" s="43" t="s">
        <v>117</v>
      </c>
      <c r="C76" s="46">
        <v>-459230.14</v>
      </c>
      <c r="D76" s="46">
        <v>-1051606</v>
      </c>
      <c r="E76" s="46">
        <v>56.33</v>
      </c>
      <c r="F76" s="46">
        <v>43.67</v>
      </c>
      <c r="G76" s="46">
        <v>-592375.86</v>
      </c>
      <c r="H76" s="5">
        <f>SUM(K76:R76)</f>
        <v>-850881.97</v>
      </c>
      <c r="K76" s="8">
        <f>'Fælles adm.'!I77</f>
        <v>0</v>
      </c>
      <c r="L76" s="8">
        <f>Odense!I77</f>
        <v>-13544.869999999999</v>
      </c>
      <c r="M76" s="8">
        <f>Laks!I77</f>
        <v>-5496.4</v>
      </c>
      <c r="N76" s="8">
        <f>Assens!I77</f>
        <v>-168399.45</v>
      </c>
      <c r="O76" s="8">
        <f>Nyborg!I77</f>
        <v>-166854.25</v>
      </c>
      <c r="P76" s="8">
        <f>Nordfyn!I77</f>
        <v>-313327</v>
      </c>
      <c r="Q76" s="8">
        <f>Kerteminde!I77</f>
        <v>-183260</v>
      </c>
      <c r="R76" s="8">
        <f>'Særlige tilskud'!I77</f>
        <v>0</v>
      </c>
    </row>
    <row r="77" spans="1:18" x14ac:dyDescent="0.25">
      <c r="A77" s="42" t="s">
        <v>12</v>
      </c>
      <c r="B77" s="42" t="s">
        <v>12</v>
      </c>
      <c r="H77" s="48"/>
      <c r="K77" s="52"/>
      <c r="L77" s="52"/>
      <c r="M77" s="52"/>
      <c r="N77" s="52"/>
      <c r="O77" s="52"/>
      <c r="P77" s="52"/>
      <c r="Q77" s="52"/>
      <c r="R77" s="52"/>
    </row>
    <row r="78" spans="1:18" x14ac:dyDescent="0.25">
      <c r="A78" s="43" t="s">
        <v>118</v>
      </c>
      <c r="B78" s="43" t="s">
        <v>119</v>
      </c>
      <c r="C78" s="46"/>
      <c r="D78" s="46"/>
      <c r="E78" s="46"/>
      <c r="F78" s="46"/>
      <c r="G78" s="46"/>
      <c r="H78" s="5"/>
      <c r="K78" s="52"/>
      <c r="L78" s="52"/>
      <c r="M78" s="52"/>
      <c r="N78" s="52"/>
      <c r="O78" s="52"/>
      <c r="P78" s="52"/>
      <c r="Q78" s="52"/>
      <c r="R78" s="52"/>
    </row>
    <row r="79" spans="1:18" x14ac:dyDescent="0.25">
      <c r="A79" s="42" t="s">
        <v>120</v>
      </c>
      <c r="B79" s="42" t="s">
        <v>121</v>
      </c>
      <c r="H79" s="48">
        <f>SUM(K79:R79)</f>
        <v>0</v>
      </c>
      <c r="K79" s="52">
        <f>'Fælles adm.'!I80</f>
        <v>0</v>
      </c>
      <c r="L79" s="52">
        <f>Odense!I80</f>
        <v>0</v>
      </c>
      <c r="M79" s="52">
        <f>Laks!I80</f>
        <v>0</v>
      </c>
      <c r="N79" s="52">
        <f>Assens!I80</f>
        <v>0</v>
      </c>
      <c r="O79" s="52">
        <f>Nyborg!I80</f>
        <v>0</v>
      </c>
      <c r="P79" s="52">
        <f>Nordfyn!I80</f>
        <v>0</v>
      </c>
      <c r="Q79" s="52">
        <f>Kerteminde!I80</f>
        <v>0</v>
      </c>
      <c r="R79" s="52">
        <f>'Særlige tilskud'!I80</f>
        <v>0</v>
      </c>
    </row>
    <row r="80" spans="1:18" x14ac:dyDescent="0.25">
      <c r="A80" s="42" t="s">
        <v>122</v>
      </c>
      <c r="B80" s="42" t="s">
        <v>123</v>
      </c>
      <c r="H80" s="48">
        <f>SUM(K80:R80)</f>
        <v>0</v>
      </c>
      <c r="K80" s="52">
        <f>'Fælles adm.'!I81</f>
        <v>0</v>
      </c>
      <c r="L80" s="52">
        <f>Odense!I81</f>
        <v>0</v>
      </c>
      <c r="M80" s="52">
        <f>Laks!I81</f>
        <v>0</v>
      </c>
      <c r="N80" s="52">
        <f>Assens!I81</f>
        <v>0</v>
      </c>
      <c r="O80" s="52">
        <f>Nyborg!I81</f>
        <v>0</v>
      </c>
      <c r="P80" s="52">
        <f>Nordfyn!I81</f>
        <v>0</v>
      </c>
      <c r="Q80" s="52">
        <f>Kerteminde!I81</f>
        <v>0</v>
      </c>
      <c r="R80" s="52">
        <f>'Særlige tilskud'!I81</f>
        <v>0</v>
      </c>
    </row>
    <row r="81" spans="1:18" x14ac:dyDescent="0.25">
      <c r="A81" s="43" t="s">
        <v>124</v>
      </c>
      <c r="B81" s="43" t="s">
        <v>125</v>
      </c>
      <c r="C81" s="46"/>
      <c r="D81" s="46"/>
      <c r="E81" s="46"/>
      <c r="F81" s="46"/>
      <c r="G81" s="46"/>
      <c r="H81" s="5">
        <f>SUM(K81:R81)</f>
        <v>0</v>
      </c>
      <c r="K81" s="8">
        <f>'Fælles adm.'!I82</f>
        <v>0</v>
      </c>
      <c r="L81" s="8">
        <f>Odense!I82</f>
        <v>0</v>
      </c>
      <c r="M81" s="8">
        <f>Laks!I82</f>
        <v>0</v>
      </c>
      <c r="N81" s="8">
        <f>Assens!I82</f>
        <v>0</v>
      </c>
      <c r="O81" s="8">
        <f>Nyborg!I82</f>
        <v>0</v>
      </c>
      <c r="P81" s="8">
        <f>Nordfyn!I82</f>
        <v>0</v>
      </c>
      <c r="Q81" s="8">
        <f>Kerteminde!I82</f>
        <v>0</v>
      </c>
      <c r="R81" s="8">
        <f>'Særlige tilskud'!I82</f>
        <v>0</v>
      </c>
    </row>
    <row r="82" spans="1:18" x14ac:dyDescent="0.25">
      <c r="A82" s="42" t="s">
        <v>12</v>
      </c>
      <c r="B82" s="42" t="s">
        <v>12</v>
      </c>
      <c r="H82" s="48"/>
      <c r="K82" s="52"/>
      <c r="L82" s="52"/>
      <c r="M82" s="52"/>
      <c r="N82" s="52"/>
      <c r="O82" s="52"/>
      <c r="P82" s="52"/>
      <c r="Q82" s="52"/>
      <c r="R82" s="52"/>
    </row>
    <row r="83" spans="1:18" x14ac:dyDescent="0.25">
      <c r="A83" s="43" t="s">
        <v>126</v>
      </c>
      <c r="B83" s="43" t="s">
        <v>30</v>
      </c>
      <c r="C83" s="46"/>
      <c r="D83" s="46"/>
      <c r="E83" s="46"/>
      <c r="F83" s="46"/>
      <c r="G83" s="46"/>
      <c r="H83" s="5"/>
      <c r="K83" s="52"/>
      <c r="L83" s="52"/>
      <c r="M83" s="52"/>
      <c r="N83" s="52"/>
      <c r="O83" s="52"/>
      <c r="P83" s="52"/>
      <c r="Q83" s="52"/>
      <c r="R83" s="52"/>
    </row>
    <row r="84" spans="1:18" x14ac:dyDescent="0.25">
      <c r="A84" s="42" t="s">
        <v>127</v>
      </c>
      <c r="B84" s="42" t="s">
        <v>128</v>
      </c>
      <c r="H84" s="48">
        <f t="shared" ref="H84:H106" si="3">SUM(K84:R84)</f>
        <v>0</v>
      </c>
      <c r="K84" s="52">
        <f>'Fælles adm.'!I85</f>
        <v>0</v>
      </c>
      <c r="L84" s="52">
        <f>Odense!I85</f>
        <v>0</v>
      </c>
      <c r="M84" s="52">
        <f>Laks!I85</f>
        <v>0</v>
      </c>
      <c r="N84" s="52">
        <f>Assens!I85</f>
        <v>0</v>
      </c>
      <c r="O84" s="52">
        <f>Nyborg!I85</f>
        <v>0</v>
      </c>
      <c r="P84" s="52">
        <f>Nordfyn!I85</f>
        <v>0</v>
      </c>
      <c r="Q84" s="52">
        <f>Kerteminde!I85</f>
        <v>0</v>
      </c>
      <c r="R84" s="52">
        <f>'Særlige tilskud'!I85</f>
        <v>0</v>
      </c>
    </row>
    <row r="85" spans="1:18" x14ac:dyDescent="0.25">
      <c r="A85" s="42" t="s">
        <v>129</v>
      </c>
      <c r="B85" s="42" t="s">
        <v>130</v>
      </c>
      <c r="C85" s="45">
        <v>-447361.2</v>
      </c>
      <c r="D85" s="45">
        <v>-1042434.9</v>
      </c>
      <c r="E85" s="45">
        <v>57.08</v>
      </c>
      <c r="F85" s="45">
        <v>42.92</v>
      </c>
      <c r="G85" s="45">
        <v>-595073.69999999995</v>
      </c>
      <c r="H85" s="48">
        <f t="shared" si="3"/>
        <v>-894722.4</v>
      </c>
      <c r="K85" s="52">
        <f>'Fælles adm.'!I86</f>
        <v>-894722.4</v>
      </c>
      <c r="L85" s="52">
        <f>Odense!I86</f>
        <v>0</v>
      </c>
      <c r="M85" s="52">
        <f>Laks!I86</f>
        <v>0</v>
      </c>
      <c r="N85" s="52">
        <f>Assens!I86</f>
        <v>0</v>
      </c>
      <c r="O85" s="52">
        <f>Nyborg!I86</f>
        <v>0</v>
      </c>
      <c r="P85" s="52">
        <f>Nordfyn!I86</f>
        <v>0</v>
      </c>
      <c r="Q85" s="52">
        <f>Kerteminde!I86</f>
        <v>0</v>
      </c>
      <c r="R85" s="52">
        <f>'Særlige tilskud'!I86</f>
        <v>0</v>
      </c>
    </row>
    <row r="86" spans="1:18" x14ac:dyDescent="0.25">
      <c r="A86" s="42" t="s">
        <v>131</v>
      </c>
      <c r="B86" s="42" t="s">
        <v>132</v>
      </c>
      <c r="H86" s="48">
        <f t="shared" si="3"/>
        <v>0</v>
      </c>
      <c r="K86" s="52">
        <f>'Fælles adm.'!I87</f>
        <v>0</v>
      </c>
      <c r="L86" s="52">
        <f>Odense!I87</f>
        <v>0</v>
      </c>
      <c r="M86" s="52">
        <f>Laks!I87</f>
        <v>0</v>
      </c>
      <c r="N86" s="52">
        <f>Assens!I87</f>
        <v>0</v>
      </c>
      <c r="O86" s="52">
        <f>Nyborg!I87</f>
        <v>0</v>
      </c>
      <c r="P86" s="52">
        <f>Nordfyn!I87</f>
        <v>0</v>
      </c>
      <c r="Q86" s="52">
        <f>Kerteminde!I87</f>
        <v>0</v>
      </c>
      <c r="R86" s="52">
        <f>'Særlige tilskud'!I87</f>
        <v>0</v>
      </c>
    </row>
    <row r="87" spans="1:18" x14ac:dyDescent="0.25">
      <c r="A87" s="42" t="s">
        <v>133</v>
      </c>
      <c r="B87" s="42" t="s">
        <v>134</v>
      </c>
      <c r="C87" s="45">
        <v>-25043.32</v>
      </c>
      <c r="G87" s="45">
        <v>25043.32</v>
      </c>
      <c r="H87" s="48">
        <f t="shared" si="3"/>
        <v>0</v>
      </c>
      <c r="K87" s="52">
        <f>'Fælles adm.'!I88</f>
        <v>0</v>
      </c>
      <c r="L87" s="52">
        <f>Odense!I88</f>
        <v>0</v>
      </c>
      <c r="M87" s="52">
        <f>Laks!I88</f>
        <v>0</v>
      </c>
      <c r="N87" s="52">
        <f>Assens!I88</f>
        <v>0</v>
      </c>
      <c r="O87" s="52">
        <f>Nyborg!I88</f>
        <v>0</v>
      </c>
      <c r="P87" s="52">
        <f>Nordfyn!I88</f>
        <v>0</v>
      </c>
      <c r="Q87" s="52">
        <f>Kerteminde!I88</f>
        <v>0</v>
      </c>
      <c r="R87" s="52">
        <f>'Særlige tilskud'!I88</f>
        <v>0</v>
      </c>
    </row>
    <row r="88" spans="1:18" x14ac:dyDescent="0.25">
      <c r="A88" s="42" t="s">
        <v>135</v>
      </c>
      <c r="B88" s="42" t="s">
        <v>136</v>
      </c>
      <c r="C88" s="45">
        <v>25043.32</v>
      </c>
      <c r="G88" s="45">
        <v>-25043.32</v>
      </c>
      <c r="H88" s="48">
        <f t="shared" si="3"/>
        <v>0</v>
      </c>
      <c r="K88" s="52">
        <f>'Fælles adm.'!I89</f>
        <v>0</v>
      </c>
      <c r="L88" s="52">
        <f>Odense!I89</f>
        <v>0</v>
      </c>
      <c r="M88" s="52">
        <f>Laks!I89</f>
        <v>0</v>
      </c>
      <c r="N88" s="52">
        <f>Assens!I89</f>
        <v>0</v>
      </c>
      <c r="O88" s="52">
        <f>Nyborg!I89</f>
        <v>0</v>
      </c>
      <c r="P88" s="52">
        <f>Nordfyn!I89</f>
        <v>0</v>
      </c>
      <c r="Q88" s="52">
        <f>Kerteminde!I89</f>
        <v>0</v>
      </c>
      <c r="R88" s="52">
        <f>'Særlige tilskud'!I89</f>
        <v>0</v>
      </c>
    </row>
    <row r="89" spans="1:18" x14ac:dyDescent="0.25">
      <c r="A89" s="42" t="s">
        <v>137</v>
      </c>
      <c r="B89" s="42" t="s">
        <v>138</v>
      </c>
      <c r="C89" s="45">
        <v>-32752461.84</v>
      </c>
      <c r="D89" s="45">
        <v>-58924213.310000002</v>
      </c>
      <c r="E89" s="45">
        <v>44.42</v>
      </c>
      <c r="F89" s="45">
        <v>55.58</v>
      </c>
      <c r="G89" s="45">
        <v>-26171751.469999999</v>
      </c>
      <c r="H89" s="48">
        <f t="shared" si="3"/>
        <v>-46623173.189999998</v>
      </c>
      <c r="K89" s="52">
        <f>'Fælles adm.'!I90</f>
        <v>-5888825.6100000003</v>
      </c>
      <c r="L89" s="52">
        <f>Odense!I90</f>
        <v>-14995264.210000001</v>
      </c>
      <c r="M89" s="52">
        <f>Laks!I90</f>
        <v>-1371367</v>
      </c>
      <c r="N89" s="52">
        <f>Assens!I90</f>
        <v>-5432040.9199999999</v>
      </c>
      <c r="O89" s="52">
        <f>Nyborg!I90</f>
        <v>-6343411.3499999996</v>
      </c>
      <c r="P89" s="52">
        <f>Nordfyn!I90</f>
        <v>-5788020.5099999998</v>
      </c>
      <c r="Q89" s="52">
        <f>Kerteminde!I90</f>
        <v>-6804243.5899999999</v>
      </c>
      <c r="R89" s="52">
        <f>'Særlige tilskud'!I90</f>
        <v>0</v>
      </c>
    </row>
    <row r="90" spans="1:18" x14ac:dyDescent="0.25">
      <c r="A90" s="42" t="s">
        <v>139</v>
      </c>
      <c r="B90" s="42" t="s">
        <v>140</v>
      </c>
      <c r="H90" s="48">
        <f t="shared" si="3"/>
        <v>0</v>
      </c>
      <c r="K90" s="52">
        <f>'Fælles adm.'!I91</f>
        <v>0</v>
      </c>
      <c r="L90" s="52">
        <f>Odense!I91</f>
        <v>0</v>
      </c>
      <c r="M90" s="52">
        <f>Laks!I91</f>
        <v>0</v>
      </c>
      <c r="N90" s="52">
        <f>Assens!I91</f>
        <v>0</v>
      </c>
      <c r="O90" s="52">
        <f>Nyborg!I91</f>
        <v>0</v>
      </c>
      <c r="P90" s="52">
        <f>Nordfyn!I91</f>
        <v>0</v>
      </c>
      <c r="Q90" s="52">
        <f>Kerteminde!I91</f>
        <v>0</v>
      </c>
      <c r="R90" s="52">
        <f>'Særlige tilskud'!I91</f>
        <v>0</v>
      </c>
    </row>
    <row r="91" spans="1:18" x14ac:dyDescent="0.25">
      <c r="A91" s="42" t="s">
        <v>141</v>
      </c>
      <c r="B91" s="42" t="s">
        <v>142</v>
      </c>
      <c r="H91" s="48">
        <f t="shared" si="3"/>
        <v>0</v>
      </c>
      <c r="K91" s="52">
        <f>'Fælles adm.'!I92</f>
        <v>0</v>
      </c>
      <c r="L91" s="52">
        <f>Odense!I92</f>
        <v>0</v>
      </c>
      <c r="M91" s="52">
        <f>Laks!I92</f>
        <v>0</v>
      </c>
      <c r="N91" s="52">
        <f>Assens!I92</f>
        <v>0</v>
      </c>
      <c r="O91" s="52">
        <f>Nyborg!I92</f>
        <v>0</v>
      </c>
      <c r="P91" s="52">
        <f>Nordfyn!I92</f>
        <v>0</v>
      </c>
      <c r="Q91" s="52">
        <f>Kerteminde!I92</f>
        <v>0</v>
      </c>
      <c r="R91" s="52">
        <f>'Særlige tilskud'!I92</f>
        <v>0</v>
      </c>
    </row>
    <row r="92" spans="1:18" x14ac:dyDescent="0.25">
      <c r="A92" s="42" t="s">
        <v>143</v>
      </c>
      <c r="B92" s="42" t="s">
        <v>144</v>
      </c>
      <c r="H92" s="48">
        <f t="shared" si="3"/>
        <v>0</v>
      </c>
      <c r="K92" s="52">
        <f>'Fælles adm.'!I93</f>
        <v>0</v>
      </c>
      <c r="L92" s="52">
        <f>Odense!I93</f>
        <v>0</v>
      </c>
      <c r="M92" s="52">
        <f>Laks!I93</f>
        <v>0</v>
      </c>
      <c r="N92" s="52">
        <f>Assens!I93</f>
        <v>0</v>
      </c>
      <c r="O92" s="52">
        <f>Nyborg!I93</f>
        <v>0</v>
      </c>
      <c r="P92" s="52">
        <f>Nordfyn!I93</f>
        <v>0</v>
      </c>
      <c r="Q92" s="52">
        <f>Kerteminde!I93</f>
        <v>0</v>
      </c>
      <c r="R92" s="52">
        <f>'Særlige tilskud'!I93</f>
        <v>0</v>
      </c>
    </row>
    <row r="93" spans="1:18" x14ac:dyDescent="0.25">
      <c r="A93" s="42" t="s">
        <v>145</v>
      </c>
      <c r="B93" s="42" t="s">
        <v>146</v>
      </c>
      <c r="C93" s="45">
        <v>448.84</v>
      </c>
      <c r="G93" s="45">
        <v>-448.84</v>
      </c>
      <c r="H93" s="48">
        <f t="shared" si="3"/>
        <v>0</v>
      </c>
      <c r="K93" s="52">
        <f>'Fælles adm.'!I94</f>
        <v>0</v>
      </c>
      <c r="L93" s="52">
        <f>Odense!I94</f>
        <v>0</v>
      </c>
      <c r="M93" s="52">
        <f>Laks!I94</f>
        <v>0</v>
      </c>
      <c r="N93" s="52">
        <f>Assens!I94</f>
        <v>0</v>
      </c>
      <c r="O93" s="52">
        <f>Nyborg!I94</f>
        <v>0</v>
      </c>
      <c r="P93" s="52">
        <f>Nordfyn!I94</f>
        <v>0</v>
      </c>
      <c r="Q93" s="52">
        <f>Kerteminde!I94</f>
        <v>0</v>
      </c>
      <c r="R93" s="52">
        <f>'Særlige tilskud'!I94</f>
        <v>0</v>
      </c>
    </row>
    <row r="94" spans="1:18" x14ac:dyDescent="0.25">
      <c r="A94" s="42" t="s">
        <v>147</v>
      </c>
      <c r="B94" s="42" t="s">
        <v>148</v>
      </c>
      <c r="C94" s="45">
        <v>-154694.1</v>
      </c>
      <c r="G94" s="45">
        <v>154694.1</v>
      </c>
      <c r="H94" s="48">
        <f t="shared" si="3"/>
        <v>0</v>
      </c>
      <c r="K94" s="52">
        <f>'Fælles adm.'!I95</f>
        <v>0</v>
      </c>
      <c r="L94" s="52">
        <f>Odense!I95</f>
        <v>0</v>
      </c>
      <c r="M94" s="52">
        <f>Laks!I95</f>
        <v>0</v>
      </c>
      <c r="N94" s="52">
        <f>Assens!I95</f>
        <v>0</v>
      </c>
      <c r="O94" s="52">
        <f>Nyborg!I95</f>
        <v>0</v>
      </c>
      <c r="P94" s="52">
        <f>Nordfyn!I95</f>
        <v>0</v>
      </c>
      <c r="Q94" s="52">
        <f>Kerteminde!I95</f>
        <v>0</v>
      </c>
      <c r="R94" s="52">
        <f>'Særlige tilskud'!I95</f>
        <v>0</v>
      </c>
    </row>
    <row r="95" spans="1:18" x14ac:dyDescent="0.25">
      <c r="A95" s="42" t="s">
        <v>149</v>
      </c>
      <c r="B95" s="42" t="s">
        <v>150</v>
      </c>
      <c r="H95" s="48">
        <f t="shared" si="3"/>
        <v>0</v>
      </c>
      <c r="K95" s="52">
        <f>'Fælles adm.'!I96</f>
        <v>0</v>
      </c>
      <c r="L95" s="52">
        <f>Odense!I96</f>
        <v>0</v>
      </c>
      <c r="M95" s="52">
        <f>Laks!I96</f>
        <v>0</v>
      </c>
      <c r="N95" s="52">
        <f>Assens!I96</f>
        <v>0</v>
      </c>
      <c r="O95" s="52">
        <f>Nyborg!I96</f>
        <v>0</v>
      </c>
      <c r="P95" s="52">
        <f>Nordfyn!I96</f>
        <v>0</v>
      </c>
      <c r="Q95" s="52">
        <f>Kerteminde!I96</f>
        <v>0</v>
      </c>
      <c r="R95" s="52">
        <f>'Særlige tilskud'!I96</f>
        <v>0</v>
      </c>
    </row>
    <row r="96" spans="1:18" x14ac:dyDescent="0.25">
      <c r="A96" s="42" t="s">
        <v>151</v>
      </c>
      <c r="B96" s="42" t="s">
        <v>152</v>
      </c>
      <c r="H96" s="48">
        <f t="shared" si="3"/>
        <v>0</v>
      </c>
      <c r="K96" s="52">
        <f>'Fælles adm.'!I97</f>
        <v>0</v>
      </c>
      <c r="L96" s="52">
        <f>Odense!I97</f>
        <v>0</v>
      </c>
      <c r="M96" s="52">
        <f>Laks!I97</f>
        <v>0</v>
      </c>
      <c r="N96" s="52">
        <f>Assens!I97</f>
        <v>0</v>
      </c>
      <c r="O96" s="52">
        <f>Nyborg!I97</f>
        <v>0</v>
      </c>
      <c r="P96" s="52">
        <f>Nordfyn!I97</f>
        <v>0</v>
      </c>
      <c r="Q96" s="52">
        <f>Kerteminde!I97</f>
        <v>0</v>
      </c>
      <c r="R96" s="52">
        <f>'Særlige tilskud'!I97</f>
        <v>0</v>
      </c>
    </row>
    <row r="97" spans="1:18" x14ac:dyDescent="0.25">
      <c r="A97" s="42" t="s">
        <v>153</v>
      </c>
      <c r="B97" s="42" t="s">
        <v>154</v>
      </c>
      <c r="H97" s="48">
        <f t="shared" si="3"/>
        <v>0</v>
      </c>
      <c r="K97" s="52">
        <f>'Fælles adm.'!I98</f>
        <v>0</v>
      </c>
      <c r="L97" s="52">
        <f>Odense!I98</f>
        <v>0</v>
      </c>
      <c r="M97" s="52">
        <f>Laks!I98</f>
        <v>0</v>
      </c>
      <c r="N97" s="52">
        <f>Assens!I98</f>
        <v>0</v>
      </c>
      <c r="O97" s="52">
        <f>Nyborg!I98</f>
        <v>0</v>
      </c>
      <c r="P97" s="52">
        <f>Nordfyn!I98</f>
        <v>0</v>
      </c>
      <c r="Q97" s="52">
        <f>Kerteminde!I98</f>
        <v>0</v>
      </c>
      <c r="R97" s="52">
        <f>'Særlige tilskud'!I98</f>
        <v>0</v>
      </c>
    </row>
    <row r="98" spans="1:18" x14ac:dyDescent="0.25">
      <c r="A98" s="42" t="s">
        <v>155</v>
      </c>
      <c r="B98" s="42" t="s">
        <v>156</v>
      </c>
      <c r="H98" s="48">
        <f t="shared" si="3"/>
        <v>0</v>
      </c>
      <c r="K98" s="52">
        <f>'Fælles adm.'!I99</f>
        <v>0</v>
      </c>
      <c r="L98" s="52">
        <f>Odense!I99</f>
        <v>0</v>
      </c>
      <c r="M98" s="52">
        <f>Laks!I99</f>
        <v>0</v>
      </c>
      <c r="N98" s="52">
        <f>Assens!I99</f>
        <v>0</v>
      </c>
      <c r="O98" s="52">
        <f>Nyborg!I99</f>
        <v>0</v>
      </c>
      <c r="P98" s="52">
        <f>Nordfyn!I99</f>
        <v>0</v>
      </c>
      <c r="Q98" s="52">
        <f>Kerteminde!I99</f>
        <v>0</v>
      </c>
      <c r="R98" s="52">
        <f>'Særlige tilskud'!I99</f>
        <v>0</v>
      </c>
    </row>
    <row r="99" spans="1:18" x14ac:dyDescent="0.25">
      <c r="A99" s="42" t="s">
        <v>157</v>
      </c>
      <c r="B99" s="42" t="s">
        <v>158</v>
      </c>
      <c r="H99" s="48">
        <f t="shared" si="3"/>
        <v>0</v>
      </c>
      <c r="K99" s="52">
        <f>'Fælles adm.'!I100</f>
        <v>0</v>
      </c>
      <c r="L99" s="52">
        <f>Odense!I100</f>
        <v>0</v>
      </c>
      <c r="M99" s="52">
        <f>Laks!I100</f>
        <v>0</v>
      </c>
      <c r="N99" s="52">
        <f>Assens!I100</f>
        <v>0</v>
      </c>
      <c r="O99" s="52">
        <f>Nyborg!I100</f>
        <v>0</v>
      </c>
      <c r="P99" s="52">
        <f>Nordfyn!I100</f>
        <v>0</v>
      </c>
      <c r="Q99" s="52">
        <f>Kerteminde!I100</f>
        <v>0</v>
      </c>
      <c r="R99" s="52">
        <f>'Særlige tilskud'!I100</f>
        <v>0</v>
      </c>
    </row>
    <row r="100" spans="1:18" x14ac:dyDescent="0.25">
      <c r="A100" s="42" t="s">
        <v>159</v>
      </c>
      <c r="B100" s="42" t="s">
        <v>160</v>
      </c>
      <c r="H100" s="48">
        <f t="shared" si="3"/>
        <v>0</v>
      </c>
      <c r="K100" s="52">
        <f>'Fælles adm.'!I101</f>
        <v>0</v>
      </c>
      <c r="L100" s="52">
        <f>Odense!I101</f>
        <v>0</v>
      </c>
      <c r="M100" s="52">
        <f>Laks!I101</f>
        <v>0</v>
      </c>
      <c r="N100" s="52">
        <f>Assens!I101</f>
        <v>0</v>
      </c>
      <c r="O100" s="52">
        <f>Nyborg!I101</f>
        <v>0</v>
      </c>
      <c r="P100" s="52">
        <f>Nordfyn!I101</f>
        <v>0</v>
      </c>
      <c r="Q100" s="52">
        <f>Kerteminde!I101</f>
        <v>0</v>
      </c>
      <c r="R100" s="52">
        <f>'Særlige tilskud'!I101</f>
        <v>0</v>
      </c>
    </row>
    <row r="101" spans="1:18" x14ac:dyDescent="0.25">
      <c r="A101" s="42" t="s">
        <v>161</v>
      </c>
      <c r="B101" s="42" t="s">
        <v>162</v>
      </c>
      <c r="H101" s="48">
        <f t="shared" si="3"/>
        <v>0</v>
      </c>
      <c r="K101" s="52">
        <f>'Fælles adm.'!I102</f>
        <v>0</v>
      </c>
      <c r="L101" s="52">
        <f>Odense!I102</f>
        <v>0</v>
      </c>
      <c r="M101" s="52">
        <f>Laks!I102</f>
        <v>0</v>
      </c>
      <c r="N101" s="52">
        <f>Assens!I102</f>
        <v>0</v>
      </c>
      <c r="O101" s="52">
        <f>Nyborg!I102</f>
        <v>0</v>
      </c>
      <c r="P101" s="52">
        <f>Nordfyn!I102</f>
        <v>0</v>
      </c>
      <c r="Q101" s="52">
        <f>Kerteminde!I102</f>
        <v>0</v>
      </c>
      <c r="R101" s="52">
        <f>'Særlige tilskud'!I102</f>
        <v>0</v>
      </c>
    </row>
    <row r="102" spans="1:18" x14ac:dyDescent="0.25">
      <c r="A102" s="42" t="s">
        <v>163</v>
      </c>
      <c r="B102" s="42" t="s">
        <v>164</v>
      </c>
      <c r="C102" s="45">
        <v>-71400</v>
      </c>
      <c r="D102" s="45">
        <v>-26873.33</v>
      </c>
      <c r="E102" s="45">
        <v>-165.69</v>
      </c>
      <c r="F102" s="45">
        <v>265.69</v>
      </c>
      <c r="G102" s="45">
        <v>44526.67</v>
      </c>
      <c r="H102" s="48">
        <f t="shared" si="3"/>
        <v>-107100</v>
      </c>
      <c r="K102" s="52">
        <f>'Fælles adm.'!I103</f>
        <v>-107100</v>
      </c>
      <c r="L102" s="52">
        <f>Odense!I103</f>
        <v>0</v>
      </c>
      <c r="M102" s="52">
        <f>Laks!I103</f>
        <v>0</v>
      </c>
      <c r="N102" s="52">
        <f>Assens!I103</f>
        <v>0</v>
      </c>
      <c r="O102" s="52">
        <f>Nyborg!I103</f>
        <v>0</v>
      </c>
      <c r="P102" s="52">
        <f>Nordfyn!I103</f>
        <v>0</v>
      </c>
      <c r="Q102" s="52">
        <f>Kerteminde!I103</f>
        <v>0</v>
      </c>
      <c r="R102" s="52">
        <f>'Særlige tilskud'!I103</f>
        <v>0</v>
      </c>
    </row>
    <row r="103" spans="1:18" x14ac:dyDescent="0.25">
      <c r="A103" s="42" t="s">
        <v>165</v>
      </c>
      <c r="B103" s="42" t="s">
        <v>166</v>
      </c>
      <c r="H103" s="48">
        <f t="shared" si="3"/>
        <v>0</v>
      </c>
      <c r="K103" s="52">
        <f>'Fælles adm.'!I104</f>
        <v>0</v>
      </c>
      <c r="L103" s="52">
        <f>Odense!I104</f>
        <v>0</v>
      </c>
      <c r="M103" s="52">
        <f>Laks!I104</f>
        <v>0</v>
      </c>
      <c r="N103" s="52">
        <f>Assens!I104</f>
        <v>0</v>
      </c>
      <c r="O103" s="52">
        <f>Nyborg!I104</f>
        <v>0</v>
      </c>
      <c r="P103" s="52">
        <f>Nordfyn!I104</f>
        <v>0</v>
      </c>
      <c r="Q103" s="52">
        <f>Kerteminde!I104</f>
        <v>0</v>
      </c>
      <c r="R103" s="52">
        <f>'Særlige tilskud'!I104</f>
        <v>0</v>
      </c>
    </row>
    <row r="104" spans="1:18" x14ac:dyDescent="0.25">
      <c r="A104" s="42" t="s">
        <v>167</v>
      </c>
      <c r="B104" s="42" t="s">
        <v>168</v>
      </c>
      <c r="H104" s="48">
        <f t="shared" si="3"/>
        <v>0</v>
      </c>
      <c r="K104" s="52">
        <f>'Fælles adm.'!I105</f>
        <v>0</v>
      </c>
      <c r="L104" s="52">
        <f>Odense!I105</f>
        <v>0</v>
      </c>
      <c r="M104" s="52">
        <f>Laks!I105</f>
        <v>0</v>
      </c>
      <c r="N104" s="52">
        <f>Assens!I105</f>
        <v>0</v>
      </c>
      <c r="O104" s="52">
        <f>Nyborg!I105</f>
        <v>0</v>
      </c>
      <c r="P104" s="52">
        <f>Nordfyn!I105</f>
        <v>0</v>
      </c>
      <c r="Q104" s="52">
        <f>Kerteminde!I105</f>
        <v>0</v>
      </c>
      <c r="R104" s="52">
        <f>'Særlige tilskud'!I105</f>
        <v>0</v>
      </c>
    </row>
    <row r="105" spans="1:18" x14ac:dyDescent="0.25">
      <c r="A105" s="42" t="s">
        <v>169</v>
      </c>
      <c r="B105" s="42" t="s">
        <v>170</v>
      </c>
      <c r="C105" s="45">
        <v>802300.14</v>
      </c>
      <c r="G105" s="45">
        <v>-802300.14</v>
      </c>
      <c r="H105" s="48">
        <f t="shared" si="3"/>
        <v>0</v>
      </c>
      <c r="K105" s="52">
        <f>'Fælles adm.'!I106</f>
        <v>0</v>
      </c>
      <c r="L105" s="52">
        <f>Odense!I106</f>
        <v>0</v>
      </c>
      <c r="M105" s="52">
        <f>Laks!I106</f>
        <v>0</v>
      </c>
      <c r="N105" s="52">
        <f>Assens!I106</f>
        <v>0</v>
      </c>
      <c r="O105" s="52">
        <f>Nyborg!I106</f>
        <v>0</v>
      </c>
      <c r="P105" s="52">
        <f>Nordfyn!I106</f>
        <v>0</v>
      </c>
      <c r="Q105" s="52">
        <f>Kerteminde!I106</f>
        <v>0</v>
      </c>
      <c r="R105" s="52">
        <f>'Særlige tilskud'!I106</f>
        <v>0</v>
      </c>
    </row>
    <row r="106" spans="1:18" x14ac:dyDescent="0.25">
      <c r="A106" s="43" t="s">
        <v>171</v>
      </c>
      <c r="B106" s="43" t="s">
        <v>172</v>
      </c>
      <c r="C106" s="46">
        <v>-32623168.16</v>
      </c>
      <c r="D106" s="46">
        <v>-59993521.539999999</v>
      </c>
      <c r="E106" s="46">
        <v>45.62</v>
      </c>
      <c r="F106" s="46">
        <v>54.38</v>
      </c>
      <c r="G106" s="46">
        <v>-27370353.379999999</v>
      </c>
      <c r="H106" s="5">
        <f t="shared" si="3"/>
        <v>-47624995.590000004</v>
      </c>
      <c r="K106" s="8">
        <f>'Fælles adm.'!I107</f>
        <v>-6890648.0100000007</v>
      </c>
      <c r="L106" s="8">
        <f>Odense!I107</f>
        <v>-14995264.210000001</v>
      </c>
      <c r="M106" s="8">
        <f>Laks!I107</f>
        <v>-1371367</v>
      </c>
      <c r="N106" s="8">
        <f>Assens!I107</f>
        <v>-5432040.9199999999</v>
      </c>
      <c r="O106" s="8">
        <f>Nyborg!I107</f>
        <v>-6343411.3499999996</v>
      </c>
      <c r="P106" s="8">
        <f>Nordfyn!I107</f>
        <v>-5788020.5099999998</v>
      </c>
      <c r="Q106" s="8">
        <f>Kerteminde!I107</f>
        <v>-6804243.5899999999</v>
      </c>
      <c r="R106" s="8">
        <f>'Særlige tilskud'!I107</f>
        <v>0</v>
      </c>
    </row>
    <row r="107" spans="1:18" x14ac:dyDescent="0.25">
      <c r="A107" s="42" t="s">
        <v>12</v>
      </c>
      <c r="B107" s="42" t="s">
        <v>12</v>
      </c>
      <c r="H107" s="48"/>
      <c r="K107" s="52"/>
      <c r="L107" s="52"/>
      <c r="M107" s="52"/>
      <c r="N107" s="52"/>
      <c r="O107" s="52"/>
      <c r="P107" s="52"/>
      <c r="Q107" s="52"/>
      <c r="R107" s="52"/>
    </row>
    <row r="108" spans="1:18" x14ac:dyDescent="0.25">
      <c r="A108" s="43" t="s">
        <v>173</v>
      </c>
      <c r="B108" s="43" t="s">
        <v>174</v>
      </c>
      <c r="C108" s="46"/>
      <c r="D108" s="46"/>
      <c r="E108" s="46"/>
      <c r="F108" s="46"/>
      <c r="G108" s="46"/>
      <c r="H108" s="5"/>
      <c r="K108" s="52"/>
      <c r="L108" s="52"/>
      <c r="M108" s="52"/>
      <c r="N108" s="52"/>
      <c r="O108" s="52"/>
      <c r="P108" s="52"/>
      <c r="Q108" s="52"/>
      <c r="R108" s="52"/>
    </row>
    <row r="109" spans="1:18" x14ac:dyDescent="0.25">
      <c r="A109" s="42" t="s">
        <v>175</v>
      </c>
      <c r="B109" s="42" t="s">
        <v>174</v>
      </c>
      <c r="C109" s="45">
        <v>-5419886.8300000001</v>
      </c>
      <c r="D109" s="45">
        <v>-11851711.15</v>
      </c>
      <c r="E109" s="45">
        <v>54.27</v>
      </c>
      <c r="F109" s="45">
        <v>45.73</v>
      </c>
      <c r="G109" s="45">
        <v>-6431824.3200000003</v>
      </c>
      <c r="H109" s="48">
        <f>SUM(K109:R109)</f>
        <v>-8325215.04</v>
      </c>
      <c r="K109" s="52">
        <f>'Fælles adm.'!I110</f>
        <v>-1231883</v>
      </c>
      <c r="L109" s="52">
        <f>Odense!I110</f>
        <v>-2631804.9700000002</v>
      </c>
      <c r="M109" s="52">
        <f>Laks!I110</f>
        <v>-233132.39</v>
      </c>
      <c r="N109" s="52">
        <f>Assens!I110</f>
        <v>-943159.07</v>
      </c>
      <c r="O109" s="52">
        <f>Nyborg!I110</f>
        <v>-1095809.1499999999</v>
      </c>
      <c r="P109" s="52">
        <f>Nordfyn!I110</f>
        <v>-972088.93</v>
      </c>
      <c r="Q109" s="52">
        <f>Kerteminde!I110</f>
        <v>-1217337.53</v>
      </c>
      <c r="R109" s="52">
        <f>'Særlige tilskud'!I110</f>
        <v>0</v>
      </c>
    </row>
    <row r="110" spans="1:18" x14ac:dyDescent="0.25">
      <c r="A110" s="42" t="s">
        <v>176</v>
      </c>
      <c r="B110" s="42" t="s">
        <v>177</v>
      </c>
      <c r="H110" s="48">
        <f>SUM(K110:R110)</f>
        <v>0</v>
      </c>
      <c r="K110" s="52">
        <f>'Fælles adm.'!I111</f>
        <v>0</v>
      </c>
      <c r="L110" s="52">
        <f>Odense!I111</f>
        <v>0</v>
      </c>
      <c r="M110" s="52">
        <f>Laks!I111</f>
        <v>0</v>
      </c>
      <c r="N110" s="52">
        <f>Assens!I111</f>
        <v>0</v>
      </c>
      <c r="O110" s="52">
        <f>Nyborg!I111</f>
        <v>0</v>
      </c>
      <c r="P110" s="52">
        <f>Nordfyn!I111</f>
        <v>0</v>
      </c>
      <c r="Q110" s="52">
        <f>Kerteminde!I111</f>
        <v>0</v>
      </c>
      <c r="R110" s="52">
        <f>'Særlige tilskud'!I111</f>
        <v>0</v>
      </c>
    </row>
    <row r="111" spans="1:18" x14ac:dyDescent="0.25">
      <c r="A111" s="43" t="s">
        <v>178</v>
      </c>
      <c r="B111" s="43" t="s">
        <v>179</v>
      </c>
      <c r="C111" s="46">
        <v>-5419886.8300000001</v>
      </c>
      <c r="D111" s="46">
        <v>-11851711.15</v>
      </c>
      <c r="E111" s="46">
        <v>54.27</v>
      </c>
      <c r="F111" s="46">
        <v>45.73</v>
      </c>
      <c r="G111" s="46">
        <v>-6431824.3200000003</v>
      </c>
      <c r="H111" s="5">
        <f>SUM(K111:R111)</f>
        <v>-8325215.04</v>
      </c>
      <c r="K111" s="8">
        <f>'Fælles adm.'!I112</f>
        <v>-1231883</v>
      </c>
      <c r="L111" s="8">
        <f>Odense!I112</f>
        <v>-2631804.9700000002</v>
      </c>
      <c r="M111" s="8">
        <f>Laks!I112</f>
        <v>-233132.39</v>
      </c>
      <c r="N111" s="8">
        <f>Assens!I112</f>
        <v>-943159.07</v>
      </c>
      <c r="O111" s="8">
        <f>Nyborg!I112</f>
        <v>-1095809.1499999999</v>
      </c>
      <c r="P111" s="8">
        <f>Nordfyn!I112</f>
        <v>-972088.93</v>
      </c>
      <c r="Q111" s="8">
        <f>Kerteminde!I112</f>
        <v>-1217337.53</v>
      </c>
      <c r="R111" s="8">
        <f>'Særlige tilskud'!I112</f>
        <v>0</v>
      </c>
    </row>
    <row r="112" spans="1:18" x14ac:dyDescent="0.25">
      <c r="A112" s="42" t="s">
        <v>12</v>
      </c>
      <c r="B112" s="42" t="s">
        <v>12</v>
      </c>
      <c r="H112" s="48"/>
      <c r="K112" s="52"/>
      <c r="L112" s="52"/>
      <c r="M112" s="52"/>
      <c r="N112" s="52"/>
      <c r="O112" s="52"/>
      <c r="P112" s="52"/>
      <c r="Q112" s="52"/>
      <c r="R112" s="52"/>
    </row>
    <row r="113" spans="1:18" x14ac:dyDescent="0.25">
      <c r="A113" s="43" t="s">
        <v>180</v>
      </c>
      <c r="B113" s="43" t="s">
        <v>181</v>
      </c>
      <c r="C113" s="46"/>
      <c r="D113" s="46"/>
      <c r="E113" s="46"/>
      <c r="F113" s="46"/>
      <c r="G113" s="46"/>
      <c r="H113" s="5"/>
      <c r="K113" s="52"/>
      <c r="L113" s="52"/>
      <c r="M113" s="52"/>
      <c r="N113" s="52"/>
      <c r="O113" s="52"/>
      <c r="P113" s="52"/>
      <c r="Q113" s="52"/>
      <c r="R113" s="52"/>
    </row>
    <row r="114" spans="1:18" x14ac:dyDescent="0.25">
      <c r="A114" s="42" t="s">
        <v>182</v>
      </c>
      <c r="B114" s="42" t="s">
        <v>183</v>
      </c>
      <c r="C114" s="45">
        <v>3633580.92</v>
      </c>
      <c r="D114" s="45">
        <v>5075121</v>
      </c>
      <c r="E114" s="45">
        <v>28.4</v>
      </c>
      <c r="F114" s="45">
        <v>71.599999999999994</v>
      </c>
      <c r="G114" s="45">
        <v>1441540.08</v>
      </c>
      <c r="H114" s="48">
        <f t="shared" ref="H114:H122" si="4">SUM(K114:R114)</f>
        <v>7267161.8399999999</v>
      </c>
      <c r="K114" s="52">
        <f>'Fælles adm.'!I115</f>
        <v>2793160.82</v>
      </c>
      <c r="L114" s="52">
        <f>Odense!I115</f>
        <v>2483935.6</v>
      </c>
      <c r="M114" s="52">
        <f>Laks!I115</f>
        <v>0</v>
      </c>
      <c r="N114" s="52">
        <f>Assens!I115</f>
        <v>906081.68</v>
      </c>
      <c r="O114" s="52">
        <f>Nyborg!I115</f>
        <v>183570.26</v>
      </c>
      <c r="P114" s="52">
        <f>Nordfyn!I115</f>
        <v>301472.32</v>
      </c>
      <c r="Q114" s="52">
        <f>Kerteminde!I115</f>
        <v>598941.16</v>
      </c>
      <c r="R114" s="52">
        <f>'Særlige tilskud'!I115</f>
        <v>0</v>
      </c>
    </row>
    <row r="115" spans="1:18" x14ac:dyDescent="0.25">
      <c r="A115" s="42" t="s">
        <v>184</v>
      </c>
      <c r="B115" s="42" t="s">
        <v>185</v>
      </c>
      <c r="C115" s="45">
        <v>1000952.81</v>
      </c>
      <c r="G115" s="45">
        <v>-1000952.81</v>
      </c>
      <c r="H115" s="48">
        <f t="shared" si="4"/>
        <v>1000952.81</v>
      </c>
      <c r="K115" s="52">
        <f>'Fælles adm.'!I116</f>
        <v>277906</v>
      </c>
      <c r="L115" s="52">
        <f>Odense!I116</f>
        <v>227770</v>
      </c>
      <c r="M115" s="52">
        <f>Laks!I116</f>
        <v>0</v>
      </c>
      <c r="N115" s="52">
        <f>Assens!I116</f>
        <v>52438</v>
      </c>
      <c r="O115" s="52">
        <f>Nyborg!I116</f>
        <v>153686</v>
      </c>
      <c r="P115" s="52">
        <f>Nordfyn!I116</f>
        <v>59872</v>
      </c>
      <c r="Q115" s="52">
        <f>Kerteminde!I116</f>
        <v>229280.81</v>
      </c>
      <c r="R115" s="52">
        <f>'Særlige tilskud'!I116</f>
        <v>0</v>
      </c>
    </row>
    <row r="116" spans="1:18" x14ac:dyDescent="0.25">
      <c r="A116" s="42" t="s">
        <v>186</v>
      </c>
      <c r="B116" s="42" t="s">
        <v>187</v>
      </c>
      <c r="H116" s="48">
        <f t="shared" si="4"/>
        <v>0</v>
      </c>
      <c r="K116" s="52">
        <f>'Fælles adm.'!I117</f>
        <v>0</v>
      </c>
      <c r="L116" s="52">
        <f>Odense!I117</f>
        <v>0</v>
      </c>
      <c r="M116" s="52">
        <f>Laks!I117</f>
        <v>0</v>
      </c>
      <c r="N116" s="52">
        <f>Assens!I117</f>
        <v>0</v>
      </c>
      <c r="O116" s="52">
        <f>Nyborg!I117</f>
        <v>0</v>
      </c>
      <c r="P116" s="52">
        <f>Nordfyn!I117</f>
        <v>0</v>
      </c>
      <c r="Q116" s="52">
        <f>Kerteminde!I117</f>
        <v>0</v>
      </c>
      <c r="R116" s="52">
        <f>'Særlige tilskud'!I117</f>
        <v>0</v>
      </c>
    </row>
    <row r="117" spans="1:18" x14ac:dyDescent="0.25">
      <c r="A117" s="42" t="s">
        <v>188</v>
      </c>
      <c r="B117" s="42" t="s">
        <v>189</v>
      </c>
      <c r="C117" s="45">
        <v>130088.37</v>
      </c>
      <c r="G117" s="45">
        <v>-130088.37</v>
      </c>
      <c r="H117" s="48">
        <f t="shared" si="4"/>
        <v>130088.37</v>
      </c>
      <c r="K117" s="52">
        <f>'Fælles adm.'!I118</f>
        <v>5705.86</v>
      </c>
      <c r="L117" s="52">
        <f>Odense!I118</f>
        <v>26946.71</v>
      </c>
      <c r="M117" s="52">
        <f>Laks!I118</f>
        <v>0</v>
      </c>
      <c r="N117" s="52">
        <f>Assens!I118</f>
        <v>0</v>
      </c>
      <c r="O117" s="52">
        <f>Nyborg!I118</f>
        <v>0</v>
      </c>
      <c r="P117" s="52">
        <f>Nordfyn!I118</f>
        <v>0</v>
      </c>
      <c r="Q117" s="52">
        <f>Kerteminde!I118</f>
        <v>97435.8</v>
      </c>
      <c r="R117" s="52">
        <f>'Særlige tilskud'!I118</f>
        <v>0</v>
      </c>
    </row>
    <row r="118" spans="1:18" x14ac:dyDescent="0.25">
      <c r="A118" s="42" t="s">
        <v>190</v>
      </c>
      <c r="B118" s="42" t="s">
        <v>191</v>
      </c>
      <c r="H118" s="48">
        <f t="shared" si="4"/>
        <v>0</v>
      </c>
      <c r="K118" s="52">
        <f>'Fælles adm.'!I119</f>
        <v>0</v>
      </c>
      <c r="L118" s="52">
        <f>Odense!I119</f>
        <v>0</v>
      </c>
      <c r="M118" s="52">
        <f>Laks!I119</f>
        <v>0</v>
      </c>
      <c r="N118" s="52">
        <f>Assens!I119</f>
        <v>0</v>
      </c>
      <c r="O118" s="52">
        <f>Nyborg!I119</f>
        <v>0</v>
      </c>
      <c r="P118" s="52">
        <f>Nordfyn!I119</f>
        <v>0</v>
      </c>
      <c r="Q118" s="52">
        <f>Kerteminde!I119</f>
        <v>0</v>
      </c>
      <c r="R118" s="52">
        <f>'Særlige tilskud'!I119</f>
        <v>0</v>
      </c>
    </row>
    <row r="119" spans="1:18" x14ac:dyDescent="0.25">
      <c r="A119" s="42" t="s">
        <v>192</v>
      </c>
      <c r="B119" s="42" t="s">
        <v>193</v>
      </c>
      <c r="C119" s="45">
        <v>93154.92</v>
      </c>
      <c r="G119" s="45">
        <v>-93154.92</v>
      </c>
      <c r="H119" s="48">
        <f t="shared" si="4"/>
        <v>93154.92</v>
      </c>
      <c r="K119" s="52">
        <f>'Fælles adm.'!I120</f>
        <v>93154.92</v>
      </c>
      <c r="L119" s="52">
        <f>Odense!I120</f>
        <v>0</v>
      </c>
      <c r="M119" s="52">
        <f>Laks!I120</f>
        <v>0</v>
      </c>
      <c r="N119" s="52">
        <f>Assens!I120</f>
        <v>0</v>
      </c>
      <c r="O119" s="52">
        <f>Nyborg!I120</f>
        <v>0</v>
      </c>
      <c r="P119" s="52">
        <f>Nordfyn!I120</f>
        <v>0</v>
      </c>
      <c r="Q119" s="52">
        <f>Kerteminde!I120</f>
        <v>0</v>
      </c>
      <c r="R119" s="52">
        <f>'Særlige tilskud'!I120</f>
        <v>0</v>
      </c>
    </row>
    <row r="120" spans="1:18" x14ac:dyDescent="0.25">
      <c r="A120" s="42" t="s">
        <v>194</v>
      </c>
      <c r="B120" s="42" t="s">
        <v>195</v>
      </c>
      <c r="C120" s="45">
        <v>121482.11</v>
      </c>
      <c r="G120" s="45">
        <v>-121482.11</v>
      </c>
      <c r="H120" s="48">
        <f t="shared" si="4"/>
        <v>121482.11</v>
      </c>
      <c r="K120" s="52">
        <f>'Fælles adm.'!I121</f>
        <v>0</v>
      </c>
      <c r="L120" s="52">
        <f>Odense!I121</f>
        <v>121482.11</v>
      </c>
      <c r="M120" s="52">
        <f>Laks!I121</f>
        <v>0</v>
      </c>
      <c r="N120" s="52">
        <f>Assens!I121</f>
        <v>0</v>
      </c>
      <c r="O120" s="52">
        <f>Nyborg!I121</f>
        <v>0</v>
      </c>
      <c r="P120" s="52">
        <f>Nordfyn!I121</f>
        <v>0</v>
      </c>
      <c r="Q120" s="52">
        <f>Kerteminde!I121</f>
        <v>0</v>
      </c>
      <c r="R120" s="52">
        <f>'Særlige tilskud'!I121</f>
        <v>0</v>
      </c>
    </row>
    <row r="121" spans="1:18" x14ac:dyDescent="0.25">
      <c r="A121" s="43" t="s">
        <v>196</v>
      </c>
      <c r="B121" s="43" t="s">
        <v>197</v>
      </c>
      <c r="C121" s="46">
        <v>4979259.13</v>
      </c>
      <c r="D121" s="46">
        <v>5075121</v>
      </c>
      <c r="E121" s="46">
        <v>1.89</v>
      </c>
      <c r="F121" s="46">
        <v>98.11</v>
      </c>
      <c r="G121" s="46">
        <v>95861.87</v>
      </c>
      <c r="H121" s="5">
        <f t="shared" si="4"/>
        <v>8612840.0499999989</v>
      </c>
      <c r="K121" s="8">
        <f>'Fælles adm.'!I122</f>
        <v>3169927.5999999996</v>
      </c>
      <c r="L121" s="8">
        <f>Odense!I122</f>
        <v>2860134.42</v>
      </c>
      <c r="M121" s="8">
        <f>Laks!I122</f>
        <v>0</v>
      </c>
      <c r="N121" s="8">
        <f>Assens!I122</f>
        <v>958519.68</v>
      </c>
      <c r="O121" s="8">
        <f>Nyborg!I122</f>
        <v>337256.26</v>
      </c>
      <c r="P121" s="8">
        <f>Nordfyn!I122</f>
        <v>361344.32</v>
      </c>
      <c r="Q121" s="8">
        <f>Kerteminde!I122</f>
        <v>925657.77</v>
      </c>
      <c r="R121" s="8">
        <f>'Særlige tilskud'!I122</f>
        <v>0</v>
      </c>
    </row>
    <row r="122" spans="1:18" x14ac:dyDescent="0.25">
      <c r="A122" s="43" t="s">
        <v>198</v>
      </c>
      <c r="B122" s="43" t="s">
        <v>199</v>
      </c>
      <c r="C122" s="46">
        <v>-33063795.859999999</v>
      </c>
      <c r="D122" s="46">
        <v>-66770111.689999998</v>
      </c>
      <c r="E122" s="46">
        <v>50.48</v>
      </c>
      <c r="F122" s="46">
        <v>49.52</v>
      </c>
      <c r="G122" s="46">
        <v>-33706315.829999998</v>
      </c>
      <c r="H122" s="5">
        <f t="shared" si="4"/>
        <v>-47337370.579999998</v>
      </c>
      <c r="K122" s="8">
        <f>'Fælles adm.'!I123</f>
        <v>-4952603.4100000011</v>
      </c>
      <c r="L122" s="8">
        <f>Odense!I123</f>
        <v>-14766934.760000002</v>
      </c>
      <c r="M122" s="8">
        <f>Laks!I123</f>
        <v>-1604499.3900000001</v>
      </c>
      <c r="N122" s="8">
        <f>Assens!I123</f>
        <v>-5416680.3099999996</v>
      </c>
      <c r="O122" s="8">
        <f>Nyborg!I123</f>
        <v>-7101964.2399999993</v>
      </c>
      <c r="P122" s="8">
        <f>Nordfyn!I123</f>
        <v>-6398765.1200000001</v>
      </c>
      <c r="Q122" s="8">
        <f>Kerteminde!I123</f>
        <v>-7095923.3499999996</v>
      </c>
      <c r="R122" s="8">
        <f>'Særlige tilskud'!I123</f>
        <v>0</v>
      </c>
    </row>
    <row r="123" spans="1:18" x14ac:dyDescent="0.25">
      <c r="A123" s="42" t="s">
        <v>12</v>
      </c>
      <c r="B123" s="42" t="s">
        <v>12</v>
      </c>
      <c r="H123" s="48"/>
      <c r="K123" s="52"/>
      <c r="L123" s="52"/>
      <c r="M123" s="52"/>
      <c r="N123" s="52"/>
      <c r="O123" s="52"/>
      <c r="P123" s="52"/>
      <c r="Q123" s="52"/>
      <c r="R123" s="52"/>
    </row>
    <row r="124" spans="1:18" x14ac:dyDescent="0.25">
      <c r="A124" s="43" t="s">
        <v>200</v>
      </c>
      <c r="B124" s="43" t="s">
        <v>201</v>
      </c>
      <c r="C124" s="46">
        <v>-33523026</v>
      </c>
      <c r="D124" s="46">
        <v>-67821717.689999998</v>
      </c>
      <c r="E124" s="46">
        <v>50.57</v>
      </c>
      <c r="F124" s="46">
        <v>49.43</v>
      </c>
      <c r="G124" s="46">
        <v>-34298691.689999998</v>
      </c>
      <c r="H124" s="5">
        <f>SUM(K124:R124)</f>
        <v>-48188252.550000004</v>
      </c>
      <c r="K124" s="8">
        <f>'Fælles adm.'!I125</f>
        <v>-4952603.4100000011</v>
      </c>
      <c r="L124" s="8">
        <f>Odense!I125</f>
        <v>-14780479.630000001</v>
      </c>
      <c r="M124" s="8">
        <f>Laks!I125</f>
        <v>-1609995.79</v>
      </c>
      <c r="N124" s="8">
        <f>Assens!I125</f>
        <v>-5585079.7599999998</v>
      </c>
      <c r="O124" s="8">
        <f>Nyborg!I125</f>
        <v>-7268818.4899999993</v>
      </c>
      <c r="P124" s="8">
        <f>Nordfyn!I125</f>
        <v>-6712092.1200000001</v>
      </c>
      <c r="Q124" s="8">
        <f>Kerteminde!I125</f>
        <v>-7279183.3499999996</v>
      </c>
      <c r="R124" s="8">
        <f>'Særlige tilskud'!I125</f>
        <v>0</v>
      </c>
    </row>
    <row r="125" spans="1:18" x14ac:dyDescent="0.25">
      <c r="A125" s="42" t="s">
        <v>12</v>
      </c>
      <c r="B125" s="42" t="s">
        <v>12</v>
      </c>
      <c r="H125" s="48"/>
      <c r="K125" s="52"/>
      <c r="L125" s="52"/>
      <c r="M125" s="52"/>
      <c r="N125" s="52"/>
      <c r="O125" s="52"/>
      <c r="P125" s="52"/>
      <c r="Q125" s="52"/>
      <c r="R125" s="52"/>
    </row>
    <row r="126" spans="1:18" x14ac:dyDescent="0.25">
      <c r="A126" s="43" t="s">
        <v>202</v>
      </c>
      <c r="B126" s="43" t="s">
        <v>203</v>
      </c>
      <c r="C126" s="46">
        <v>16726808.02</v>
      </c>
      <c r="D126" s="46">
        <v>28765554.489999998</v>
      </c>
      <c r="E126" s="46">
        <v>41.85</v>
      </c>
      <c r="F126" s="46">
        <v>58.15</v>
      </c>
      <c r="G126" s="46">
        <v>12038746.470000001</v>
      </c>
      <c r="H126" s="5">
        <f>SUM(K126:R126)</f>
        <v>37488713.760000005</v>
      </c>
      <c r="K126" s="8">
        <f>'Fælles adm.'!I127</f>
        <v>-2725753.4100000011</v>
      </c>
      <c r="L126" s="8">
        <f>Odense!I127</f>
        <v>12950063.584952133</v>
      </c>
      <c r="M126" s="8">
        <f>Laks!I127</f>
        <v>1431504.21</v>
      </c>
      <c r="N126" s="8">
        <f>Assens!I127</f>
        <v>5117021.8119312059</v>
      </c>
      <c r="O126" s="8">
        <f>Nyborg!I127</f>
        <v>2194502.9356021406</v>
      </c>
      <c r="P126" s="8">
        <f>Nordfyn!I127</f>
        <v>4584956.8422131194</v>
      </c>
      <c r="Q126" s="8">
        <f>Kerteminde!I127</f>
        <v>3852285.415301403</v>
      </c>
      <c r="R126" s="8">
        <f>'Særlige tilskud'!I127</f>
        <v>10084132.370000001</v>
      </c>
    </row>
    <row r="127" spans="1:18" x14ac:dyDescent="0.25">
      <c r="A127" s="42" t="s">
        <v>12</v>
      </c>
      <c r="B127" s="42" t="s">
        <v>12</v>
      </c>
      <c r="H127" s="48"/>
      <c r="K127" s="52"/>
      <c r="L127" s="52"/>
      <c r="M127" s="52"/>
      <c r="N127" s="52"/>
      <c r="O127" s="52"/>
      <c r="P127" s="52"/>
      <c r="Q127" s="52"/>
      <c r="R127" s="52"/>
    </row>
    <row r="128" spans="1:18" x14ac:dyDescent="0.25">
      <c r="A128" s="43" t="s">
        <v>204</v>
      </c>
      <c r="B128" s="43" t="s">
        <v>205</v>
      </c>
      <c r="C128" s="46"/>
      <c r="D128" s="46"/>
      <c r="E128" s="46"/>
      <c r="F128" s="46"/>
      <c r="G128" s="46"/>
      <c r="H128" s="5"/>
      <c r="K128" s="52"/>
      <c r="L128" s="52"/>
      <c r="M128" s="52"/>
      <c r="N128" s="52"/>
      <c r="O128" s="52"/>
      <c r="P128" s="52"/>
      <c r="Q128" s="52"/>
      <c r="R128" s="52"/>
    </row>
    <row r="129" spans="1:18" x14ac:dyDescent="0.25">
      <c r="A129" s="42" t="s">
        <v>206</v>
      </c>
      <c r="B129" s="42" t="s">
        <v>207</v>
      </c>
      <c r="C129" s="45">
        <v>67544.899999999994</v>
      </c>
      <c r="D129" s="45">
        <v>580143.63</v>
      </c>
      <c r="E129" s="45">
        <v>88.36</v>
      </c>
      <c r="F129" s="45">
        <v>11.64</v>
      </c>
      <c r="G129" s="45">
        <v>512598.73</v>
      </c>
      <c r="H129" s="48">
        <f t="shared" ref="H129:H135" si="5">SUM(K129:R129)</f>
        <v>580143.63</v>
      </c>
      <c r="K129" s="52">
        <f>'Fælles adm.'!I130</f>
        <v>42259.63</v>
      </c>
      <c r="L129" s="52">
        <f>Odense!I130</f>
        <v>165880</v>
      </c>
      <c r="M129" s="52">
        <f>Laks!I130</f>
        <v>0</v>
      </c>
      <c r="N129" s="52">
        <f>Assens!I130</f>
        <v>116100</v>
      </c>
      <c r="O129" s="52">
        <f>Nyborg!I130</f>
        <v>50000</v>
      </c>
      <c r="P129" s="52">
        <f>Nordfyn!I130</f>
        <v>103200</v>
      </c>
      <c r="Q129" s="52">
        <f>Kerteminde!I130</f>
        <v>102704</v>
      </c>
      <c r="R129" s="52">
        <f>'Særlige tilskud'!I130</f>
        <v>0</v>
      </c>
    </row>
    <row r="130" spans="1:18" x14ac:dyDescent="0.25">
      <c r="A130" s="42" t="s">
        <v>208</v>
      </c>
      <c r="B130" s="42" t="s">
        <v>209</v>
      </c>
      <c r="C130" s="45">
        <v>1103518.27</v>
      </c>
      <c r="D130" s="45">
        <v>83204.73</v>
      </c>
      <c r="E130" s="45">
        <v>-1226.27</v>
      </c>
      <c r="F130" s="45">
        <v>1326.27</v>
      </c>
      <c r="G130" s="45">
        <v>-1020313.54</v>
      </c>
      <c r="H130" s="48">
        <f t="shared" si="5"/>
        <v>0</v>
      </c>
      <c r="K130" s="52">
        <f>'Fælles adm.'!I131</f>
        <v>0</v>
      </c>
      <c r="L130" s="52">
        <f>Odense!I131</f>
        <v>0</v>
      </c>
      <c r="M130" s="52">
        <f>Laks!I131</f>
        <v>0</v>
      </c>
      <c r="N130" s="52">
        <f>Assens!I131</f>
        <v>0</v>
      </c>
      <c r="O130" s="52">
        <f>Nyborg!I131</f>
        <v>0</v>
      </c>
      <c r="P130" s="52">
        <f>Nordfyn!I131</f>
        <v>0</v>
      </c>
      <c r="Q130" s="52">
        <f>Kerteminde!I131</f>
        <v>0</v>
      </c>
      <c r="R130" s="52">
        <f>'Særlige tilskud'!I131</f>
        <v>0</v>
      </c>
    </row>
    <row r="131" spans="1:18" x14ac:dyDescent="0.25">
      <c r="A131" s="42" t="s">
        <v>210</v>
      </c>
      <c r="B131" s="42" t="s">
        <v>211</v>
      </c>
      <c r="D131" s="45">
        <v>150000</v>
      </c>
      <c r="E131" s="45">
        <v>100</v>
      </c>
      <c r="G131" s="45">
        <v>150000</v>
      </c>
      <c r="H131" s="48">
        <f t="shared" si="5"/>
        <v>0</v>
      </c>
      <c r="K131" s="52">
        <f>'Fælles adm.'!I132</f>
        <v>0</v>
      </c>
      <c r="L131" s="52">
        <f>Odense!I132</f>
        <v>0</v>
      </c>
      <c r="M131" s="52">
        <f>Laks!I132</f>
        <v>0</v>
      </c>
      <c r="N131" s="52">
        <f>Assens!I132</f>
        <v>0</v>
      </c>
      <c r="O131" s="52">
        <f>Nyborg!I132</f>
        <v>0</v>
      </c>
      <c r="P131" s="52">
        <f>Nordfyn!I132</f>
        <v>0</v>
      </c>
      <c r="Q131" s="52">
        <f>Kerteminde!I132</f>
        <v>0</v>
      </c>
      <c r="R131" s="52">
        <f>'Særlige tilskud'!I132</f>
        <v>0</v>
      </c>
    </row>
    <row r="132" spans="1:18" x14ac:dyDescent="0.25">
      <c r="A132" s="42" t="s">
        <v>212</v>
      </c>
      <c r="B132" s="42" t="s">
        <v>213</v>
      </c>
      <c r="H132" s="48">
        <f t="shared" si="5"/>
        <v>0</v>
      </c>
      <c r="K132" s="52">
        <f>'Fælles adm.'!I133</f>
        <v>0</v>
      </c>
      <c r="L132" s="52">
        <f>Odense!I133</f>
        <v>0</v>
      </c>
      <c r="M132" s="52">
        <f>Laks!I133</f>
        <v>0</v>
      </c>
      <c r="N132" s="52">
        <f>Assens!I133</f>
        <v>0</v>
      </c>
      <c r="O132" s="52">
        <f>Nyborg!I133</f>
        <v>0</v>
      </c>
      <c r="P132" s="52">
        <f>Nordfyn!I133</f>
        <v>0</v>
      </c>
      <c r="Q132" s="52">
        <f>Kerteminde!I133</f>
        <v>0</v>
      </c>
      <c r="R132" s="52">
        <f>'Særlige tilskud'!I133</f>
        <v>0</v>
      </c>
    </row>
    <row r="133" spans="1:18" x14ac:dyDescent="0.25">
      <c r="A133" s="42" t="s">
        <v>214</v>
      </c>
      <c r="B133" s="42" t="s">
        <v>215</v>
      </c>
      <c r="H133" s="48">
        <f t="shared" si="5"/>
        <v>0</v>
      </c>
      <c r="K133" s="52">
        <f>'Fælles adm.'!I134</f>
        <v>0</v>
      </c>
      <c r="L133" s="52">
        <f>Odense!I134</f>
        <v>0</v>
      </c>
      <c r="M133" s="52">
        <f>Laks!I134</f>
        <v>0</v>
      </c>
      <c r="N133" s="52">
        <f>Assens!I134</f>
        <v>0</v>
      </c>
      <c r="O133" s="52">
        <f>Nyborg!I134</f>
        <v>0</v>
      </c>
      <c r="P133" s="52">
        <f>Nordfyn!I134</f>
        <v>0</v>
      </c>
      <c r="Q133" s="52">
        <f>Kerteminde!I134</f>
        <v>0</v>
      </c>
      <c r="R133" s="52">
        <f>'Særlige tilskud'!I134</f>
        <v>0</v>
      </c>
    </row>
    <row r="134" spans="1:18" x14ac:dyDescent="0.25">
      <c r="A134" s="42" t="s">
        <v>216</v>
      </c>
      <c r="B134" s="42" t="s">
        <v>217</v>
      </c>
      <c r="C134" s="45">
        <v>15000</v>
      </c>
      <c r="G134" s="45">
        <v>-15000</v>
      </c>
      <c r="H134" s="48">
        <f t="shared" si="5"/>
        <v>0</v>
      </c>
      <c r="K134" s="52">
        <f>'Fælles adm.'!I135</f>
        <v>0</v>
      </c>
      <c r="L134" s="52">
        <f>Odense!I135</f>
        <v>0</v>
      </c>
      <c r="M134" s="52">
        <f>Laks!I135</f>
        <v>0</v>
      </c>
      <c r="N134" s="52">
        <f>Assens!I135</f>
        <v>0</v>
      </c>
      <c r="O134" s="52">
        <f>Nyborg!I135</f>
        <v>0</v>
      </c>
      <c r="P134" s="52">
        <f>Nordfyn!I135</f>
        <v>0</v>
      </c>
      <c r="Q134" s="52">
        <f>Kerteminde!I135</f>
        <v>0</v>
      </c>
      <c r="R134" s="52">
        <f>'Særlige tilskud'!I135</f>
        <v>0</v>
      </c>
    </row>
    <row r="135" spans="1:18" x14ac:dyDescent="0.25">
      <c r="A135" s="43" t="s">
        <v>218</v>
      </c>
      <c r="B135" s="43" t="s">
        <v>219</v>
      </c>
      <c r="C135" s="46">
        <v>1186063.17</v>
      </c>
      <c r="D135" s="46">
        <v>813348.36</v>
      </c>
      <c r="E135" s="46">
        <v>-45.82</v>
      </c>
      <c r="F135" s="46">
        <v>145.82</v>
      </c>
      <c r="G135" s="46">
        <v>-372714.81</v>
      </c>
      <c r="H135" s="5">
        <f t="shared" si="5"/>
        <v>580143.63</v>
      </c>
      <c r="K135" s="8">
        <f>'Fælles adm.'!I136</f>
        <v>42259.63</v>
      </c>
      <c r="L135" s="8">
        <f>Odense!I136</f>
        <v>165880</v>
      </c>
      <c r="M135" s="8">
        <f>Laks!I136</f>
        <v>0</v>
      </c>
      <c r="N135" s="8">
        <f>Assens!I136</f>
        <v>116100</v>
      </c>
      <c r="O135" s="8">
        <f>Nyborg!I136</f>
        <v>50000</v>
      </c>
      <c r="P135" s="8">
        <f>Nordfyn!I136</f>
        <v>103200</v>
      </c>
      <c r="Q135" s="8">
        <f>Kerteminde!I136</f>
        <v>102704</v>
      </c>
      <c r="R135" s="8">
        <f>'Særlige tilskud'!I136</f>
        <v>0</v>
      </c>
    </row>
    <row r="136" spans="1:18" x14ac:dyDescent="0.25">
      <c r="A136" s="42" t="s">
        <v>12</v>
      </c>
      <c r="B136" s="42" t="s">
        <v>12</v>
      </c>
      <c r="H136" s="48"/>
      <c r="K136" s="52"/>
      <c r="L136" s="52"/>
      <c r="M136" s="52"/>
      <c r="N136" s="52"/>
      <c r="O136" s="52"/>
      <c r="P136" s="52"/>
      <c r="Q136" s="52"/>
      <c r="R136" s="52"/>
    </row>
    <row r="137" spans="1:18" x14ac:dyDescent="0.25">
      <c r="A137" s="43" t="s">
        <v>220</v>
      </c>
      <c r="B137" s="43" t="s">
        <v>221</v>
      </c>
      <c r="C137" s="46"/>
      <c r="D137" s="46"/>
      <c r="E137" s="46"/>
      <c r="F137" s="46"/>
      <c r="G137" s="46"/>
      <c r="H137" s="5"/>
      <c r="K137" s="52"/>
      <c r="L137" s="52"/>
      <c r="M137" s="52"/>
      <c r="N137" s="52"/>
      <c r="O137" s="52"/>
      <c r="P137" s="52"/>
      <c r="Q137" s="52"/>
      <c r="R137" s="52"/>
    </row>
    <row r="138" spans="1:18" x14ac:dyDescent="0.25">
      <c r="A138" s="42" t="s">
        <v>222</v>
      </c>
      <c r="B138" s="42" t="s">
        <v>223</v>
      </c>
      <c r="D138" s="45">
        <v>-4000000</v>
      </c>
      <c r="E138" s="45">
        <v>100</v>
      </c>
      <c r="G138" s="45">
        <v>-4000000</v>
      </c>
      <c r="H138" s="48">
        <f t="shared" ref="H138:H150" si="6">SUM(K138:R138)</f>
        <v>-4000000</v>
      </c>
      <c r="K138" s="52">
        <f>'Fælles adm.'!I139</f>
        <v>0</v>
      </c>
      <c r="L138" s="52">
        <f>Odense!I139</f>
        <v>0</v>
      </c>
      <c r="M138" s="52">
        <f>Laks!I139</f>
        <v>0</v>
      </c>
      <c r="N138" s="52">
        <f>Assens!I139</f>
        <v>0</v>
      </c>
      <c r="O138" s="52">
        <f>Nyborg!I139</f>
        <v>0</v>
      </c>
      <c r="P138" s="52">
        <f>Nordfyn!I139</f>
        <v>0</v>
      </c>
      <c r="Q138" s="52">
        <f>Kerteminde!I139</f>
        <v>0</v>
      </c>
      <c r="R138" s="52">
        <f>'Særlige tilskud'!I139</f>
        <v>-4000000</v>
      </c>
    </row>
    <row r="139" spans="1:18" x14ac:dyDescent="0.25">
      <c r="A139" s="42" t="s">
        <v>224</v>
      </c>
      <c r="B139" s="42" t="s">
        <v>225</v>
      </c>
      <c r="H139" s="48">
        <f t="shared" si="6"/>
        <v>0</v>
      </c>
      <c r="K139" s="52">
        <f>'Fælles adm.'!I140</f>
        <v>0</v>
      </c>
      <c r="L139" s="52">
        <f>Odense!I140</f>
        <v>0</v>
      </c>
      <c r="M139" s="52">
        <f>Laks!I140</f>
        <v>0</v>
      </c>
      <c r="N139" s="52">
        <f>Assens!I140</f>
        <v>0</v>
      </c>
      <c r="O139" s="52">
        <f>Nyborg!I140</f>
        <v>0</v>
      </c>
      <c r="P139" s="52">
        <f>Nordfyn!I140</f>
        <v>0</v>
      </c>
      <c r="Q139" s="52">
        <f>Kerteminde!I140</f>
        <v>0</v>
      </c>
      <c r="R139" s="52">
        <f>'Særlige tilskud'!I140</f>
        <v>0</v>
      </c>
    </row>
    <row r="140" spans="1:18" x14ac:dyDescent="0.25">
      <c r="A140" s="42" t="s">
        <v>226</v>
      </c>
      <c r="B140" s="42" t="s">
        <v>227</v>
      </c>
      <c r="C140" s="45">
        <v>-2035138.09</v>
      </c>
      <c r="D140" s="45">
        <v>-3926274.64</v>
      </c>
      <c r="E140" s="45">
        <v>48.17</v>
      </c>
      <c r="F140" s="45">
        <v>51.83</v>
      </c>
      <c r="G140" s="45">
        <v>-1891136.55</v>
      </c>
      <c r="H140" s="48">
        <f t="shared" si="6"/>
        <v>-8424120.8399999999</v>
      </c>
      <c r="K140" s="52">
        <f>'Fælles adm.'!I141</f>
        <v>0</v>
      </c>
      <c r="L140" s="52">
        <f>Odense!I141</f>
        <v>-3622371.9611999998</v>
      </c>
      <c r="M140" s="52">
        <f>Laks!I141</f>
        <v>0</v>
      </c>
      <c r="N140" s="52">
        <f>Assens!I141</f>
        <v>-1179376.9176</v>
      </c>
      <c r="O140" s="52">
        <f>Nyborg!I141</f>
        <v>-1263618.1259999999</v>
      </c>
      <c r="P140" s="52">
        <f>Nordfyn!I141</f>
        <v>-1263618.1259999999</v>
      </c>
      <c r="Q140" s="52">
        <f>Kerteminde!I141</f>
        <v>-1095135.7091999999</v>
      </c>
      <c r="R140" s="52">
        <f>'Særlige tilskud'!I141</f>
        <v>0</v>
      </c>
    </row>
    <row r="141" spans="1:18" x14ac:dyDescent="0.25">
      <c r="A141" s="42" t="s">
        <v>228</v>
      </c>
      <c r="B141" s="42" t="s">
        <v>229</v>
      </c>
      <c r="C141" s="45">
        <v>2035138.09</v>
      </c>
      <c r="D141" s="45">
        <v>3926274.64</v>
      </c>
      <c r="E141" s="45">
        <v>48.17</v>
      </c>
      <c r="F141" s="45">
        <v>51.83</v>
      </c>
      <c r="G141" s="45">
        <v>1891136.55</v>
      </c>
      <c r="H141" s="48">
        <f t="shared" si="6"/>
        <v>8424120.8399999999</v>
      </c>
      <c r="K141" s="52">
        <f>'Fælles adm.'!I142</f>
        <v>8424120.8399999999</v>
      </c>
      <c r="L141" s="52">
        <f>Odense!I142</f>
        <v>0</v>
      </c>
      <c r="M141" s="52">
        <f>Laks!I142</f>
        <v>0</v>
      </c>
      <c r="N141" s="52">
        <f>Assens!I142</f>
        <v>0</v>
      </c>
      <c r="O141" s="52">
        <f>Nyborg!I142</f>
        <v>0</v>
      </c>
      <c r="P141" s="52">
        <f>Nordfyn!I142</f>
        <v>0</v>
      </c>
      <c r="Q141" s="52">
        <f>Kerteminde!I142</f>
        <v>0</v>
      </c>
      <c r="R141" s="52">
        <f>'Særlige tilskud'!I142</f>
        <v>0</v>
      </c>
    </row>
    <row r="142" spans="1:18" x14ac:dyDescent="0.25">
      <c r="A142" s="42" t="s">
        <v>230</v>
      </c>
      <c r="B142" s="42" t="s">
        <v>231</v>
      </c>
      <c r="C142" s="45">
        <v>-4140.8</v>
      </c>
      <c r="D142" s="45">
        <v>-7000</v>
      </c>
      <c r="E142" s="45">
        <v>40.85</v>
      </c>
      <c r="F142" s="45">
        <v>59.15</v>
      </c>
      <c r="G142" s="45">
        <v>-2859.2</v>
      </c>
      <c r="H142" s="48">
        <f t="shared" si="6"/>
        <v>0</v>
      </c>
      <c r="K142" s="52">
        <f>'Fælles adm.'!I143</f>
        <v>0</v>
      </c>
      <c r="L142" s="52">
        <f>Odense!I143</f>
        <v>0</v>
      </c>
      <c r="M142" s="52">
        <f>Laks!I143</f>
        <v>0</v>
      </c>
      <c r="N142" s="52">
        <f>Assens!I143</f>
        <v>0</v>
      </c>
      <c r="O142" s="52">
        <f>Nyborg!I143</f>
        <v>0</v>
      </c>
      <c r="P142" s="52">
        <f>Nordfyn!I143</f>
        <v>0</v>
      </c>
      <c r="Q142" s="52">
        <f>Kerteminde!I143</f>
        <v>0</v>
      </c>
      <c r="R142" s="52">
        <f>'Særlige tilskud'!I143</f>
        <v>0</v>
      </c>
    </row>
    <row r="143" spans="1:18" x14ac:dyDescent="0.25">
      <c r="A143" s="42" t="s">
        <v>232</v>
      </c>
      <c r="B143" s="42" t="s">
        <v>233</v>
      </c>
      <c r="C143" s="45">
        <v>-29987.16</v>
      </c>
      <c r="D143" s="45">
        <v>-274000</v>
      </c>
      <c r="E143" s="45">
        <v>89.06</v>
      </c>
      <c r="F143" s="45">
        <v>10.94</v>
      </c>
      <c r="G143" s="45">
        <v>-244012.84</v>
      </c>
      <c r="H143" s="48">
        <f t="shared" si="6"/>
        <v>-191000</v>
      </c>
      <c r="K143" s="52">
        <f>'Fælles adm.'!I144</f>
        <v>-70000</v>
      </c>
      <c r="L143" s="52">
        <f>Odense!I144</f>
        <v>-46000</v>
      </c>
      <c r="M143" s="52">
        <f>Laks!I144</f>
        <v>-10000</v>
      </c>
      <c r="N143" s="52">
        <f>Assens!I144</f>
        <v>-20000</v>
      </c>
      <c r="O143" s="52">
        <f>Nyborg!I144</f>
        <v>-15000</v>
      </c>
      <c r="P143" s="52">
        <f>Nordfyn!I144</f>
        <v>-15000</v>
      </c>
      <c r="Q143" s="52">
        <f>Kerteminde!I144</f>
        <v>-15000</v>
      </c>
      <c r="R143" s="52">
        <f>'Særlige tilskud'!I144</f>
        <v>0</v>
      </c>
    </row>
    <row r="144" spans="1:18" x14ac:dyDescent="0.25">
      <c r="A144" s="42" t="s">
        <v>234</v>
      </c>
      <c r="B144" s="42" t="s">
        <v>235</v>
      </c>
      <c r="D144" s="45">
        <v>-25000</v>
      </c>
      <c r="E144" s="45">
        <v>100</v>
      </c>
      <c r="G144" s="45">
        <v>-25000</v>
      </c>
      <c r="H144" s="48">
        <f t="shared" si="6"/>
        <v>-25000</v>
      </c>
      <c r="K144" s="52">
        <f>'Fælles adm.'!I145</f>
        <v>0</v>
      </c>
      <c r="L144" s="52">
        <f>Odense!I145</f>
        <v>-5000</v>
      </c>
      <c r="M144" s="52">
        <f>Laks!I145</f>
        <v>0</v>
      </c>
      <c r="N144" s="52">
        <f>Assens!I145</f>
        <v>-5000</v>
      </c>
      <c r="O144" s="52">
        <f>Nyborg!I145</f>
        <v>-5000</v>
      </c>
      <c r="P144" s="52">
        <f>Nordfyn!I145</f>
        <v>-5000</v>
      </c>
      <c r="Q144" s="52">
        <f>Kerteminde!I145</f>
        <v>-5000</v>
      </c>
      <c r="R144" s="52">
        <f>'Særlige tilskud'!I145</f>
        <v>0</v>
      </c>
    </row>
    <row r="145" spans="1:18" x14ac:dyDescent="0.25">
      <c r="A145" s="42" t="s">
        <v>236</v>
      </c>
      <c r="B145" s="42" t="s">
        <v>237</v>
      </c>
      <c r="C145" s="45">
        <v>-5782.94</v>
      </c>
      <c r="D145" s="45">
        <v>-35000</v>
      </c>
      <c r="E145" s="45">
        <v>83.48</v>
      </c>
      <c r="F145" s="45">
        <v>16.52</v>
      </c>
      <c r="G145" s="45">
        <v>-29217.06</v>
      </c>
      <c r="H145" s="48">
        <f t="shared" si="6"/>
        <v>-30000</v>
      </c>
      <c r="K145" s="52">
        <f>'Fælles adm.'!I146</f>
        <v>0</v>
      </c>
      <c r="L145" s="52">
        <f>Odense!I146</f>
        <v>-5000</v>
      </c>
      <c r="M145" s="52">
        <f>Laks!I146</f>
        <v>-5000</v>
      </c>
      <c r="N145" s="52">
        <f>Assens!I146</f>
        <v>-5000</v>
      </c>
      <c r="O145" s="52">
        <f>Nyborg!I146</f>
        <v>-5000</v>
      </c>
      <c r="P145" s="52">
        <f>Nordfyn!I146</f>
        <v>-5000</v>
      </c>
      <c r="Q145" s="52">
        <f>Kerteminde!I146</f>
        <v>-5000</v>
      </c>
      <c r="R145" s="52">
        <f>'Særlige tilskud'!I146</f>
        <v>0</v>
      </c>
    </row>
    <row r="146" spans="1:18" x14ac:dyDescent="0.25">
      <c r="A146" s="42" t="s">
        <v>238</v>
      </c>
      <c r="B146" s="42" t="s">
        <v>239</v>
      </c>
      <c r="C146" s="45">
        <v>-28318.55</v>
      </c>
      <c r="D146" s="45">
        <v>-63506.63</v>
      </c>
      <c r="E146" s="45">
        <v>55.41</v>
      </c>
      <c r="F146" s="45">
        <v>44.59</v>
      </c>
      <c r="G146" s="45">
        <v>-35188.080000000002</v>
      </c>
      <c r="H146" s="48">
        <f t="shared" si="6"/>
        <v>-49000</v>
      </c>
      <c r="K146" s="52">
        <f>'Fælles adm.'!I147</f>
        <v>-25000</v>
      </c>
      <c r="L146" s="52">
        <f>Odense!I147</f>
        <v>-4000</v>
      </c>
      <c r="M146" s="52">
        <f>Laks!I147</f>
        <v>-4000</v>
      </c>
      <c r="N146" s="52">
        <f>Assens!I147</f>
        <v>-4000</v>
      </c>
      <c r="O146" s="52">
        <f>Nyborg!I147</f>
        <v>-4000</v>
      </c>
      <c r="P146" s="52">
        <f>Nordfyn!I147</f>
        <v>-4000</v>
      </c>
      <c r="Q146" s="52">
        <f>Kerteminde!I147</f>
        <v>-4000</v>
      </c>
      <c r="R146" s="52">
        <f>'Særlige tilskud'!I147</f>
        <v>0</v>
      </c>
    </row>
    <row r="147" spans="1:18" x14ac:dyDescent="0.25">
      <c r="A147" s="42" t="s">
        <v>240</v>
      </c>
      <c r="B147" s="42" t="s">
        <v>241</v>
      </c>
      <c r="C147" s="45">
        <v>-236820.31</v>
      </c>
      <c r="G147" s="45">
        <v>236820.31</v>
      </c>
      <c r="H147" s="48">
        <f t="shared" si="6"/>
        <v>0</v>
      </c>
      <c r="K147" s="52">
        <f>'Fælles adm.'!I148</f>
        <v>0</v>
      </c>
      <c r="L147" s="52">
        <f>Odense!I148</f>
        <v>0</v>
      </c>
      <c r="M147" s="52">
        <f>Laks!I148</f>
        <v>0</v>
      </c>
      <c r="N147" s="52">
        <f>Assens!I148</f>
        <v>0</v>
      </c>
      <c r="O147" s="52">
        <f>Nyborg!I148</f>
        <v>0</v>
      </c>
      <c r="P147" s="52">
        <f>Nordfyn!I148</f>
        <v>0</v>
      </c>
      <c r="Q147" s="52">
        <f>Kerteminde!I148</f>
        <v>0</v>
      </c>
      <c r="R147" s="52">
        <f>'Særlige tilskud'!I148</f>
        <v>0</v>
      </c>
    </row>
    <row r="148" spans="1:18" x14ac:dyDescent="0.25">
      <c r="A148" s="42" t="s">
        <v>242</v>
      </c>
      <c r="B148" s="42" t="s">
        <v>243</v>
      </c>
      <c r="C148" s="45">
        <v>-45160.07</v>
      </c>
      <c r="D148" s="45">
        <v>-192660</v>
      </c>
      <c r="E148" s="45">
        <v>76.56</v>
      </c>
      <c r="F148" s="45">
        <v>23.44</v>
      </c>
      <c r="G148" s="45">
        <v>-147499.93</v>
      </c>
      <c r="H148" s="48">
        <f t="shared" si="6"/>
        <v>-192660</v>
      </c>
      <c r="K148" s="52">
        <f>'Fælles adm.'!I149</f>
        <v>-192660</v>
      </c>
      <c r="L148" s="52">
        <f>Odense!I149</f>
        <v>0</v>
      </c>
      <c r="M148" s="52">
        <f>Laks!I149</f>
        <v>0</v>
      </c>
      <c r="N148" s="52">
        <f>Assens!I149</f>
        <v>0</v>
      </c>
      <c r="O148" s="52">
        <f>Nyborg!I149</f>
        <v>0</v>
      </c>
      <c r="P148" s="52">
        <f>Nordfyn!I149</f>
        <v>0</v>
      </c>
      <c r="Q148" s="52">
        <f>Kerteminde!I149</f>
        <v>0</v>
      </c>
      <c r="R148" s="52">
        <f>'Særlige tilskud'!I149</f>
        <v>0</v>
      </c>
    </row>
    <row r="149" spans="1:18" x14ac:dyDescent="0.25">
      <c r="A149" s="42" t="s">
        <v>244</v>
      </c>
      <c r="B149" s="42" t="s">
        <v>245</v>
      </c>
      <c r="C149" s="45">
        <v>-69039.679999999993</v>
      </c>
      <c r="D149" s="45">
        <v>-156400</v>
      </c>
      <c r="E149" s="45">
        <v>55.86</v>
      </c>
      <c r="F149" s="45">
        <v>44.14</v>
      </c>
      <c r="G149" s="45">
        <v>-87360.320000000007</v>
      </c>
      <c r="H149" s="48">
        <f t="shared" si="6"/>
        <v>-156400</v>
      </c>
      <c r="K149" s="52">
        <f>'Fælles adm.'!I150</f>
        <v>-156400</v>
      </c>
      <c r="L149" s="52">
        <f>Odense!I150</f>
        <v>0</v>
      </c>
      <c r="M149" s="52">
        <f>Laks!I150</f>
        <v>0</v>
      </c>
      <c r="N149" s="52">
        <f>Assens!I150</f>
        <v>0</v>
      </c>
      <c r="O149" s="52">
        <f>Nyborg!I150</f>
        <v>0</v>
      </c>
      <c r="P149" s="52">
        <f>Nordfyn!I150</f>
        <v>0</v>
      </c>
      <c r="Q149" s="52">
        <f>Kerteminde!I150</f>
        <v>0</v>
      </c>
      <c r="R149" s="52">
        <f>'Særlige tilskud'!I150</f>
        <v>0</v>
      </c>
    </row>
    <row r="150" spans="1:18" x14ac:dyDescent="0.25">
      <c r="A150" s="42" t="s">
        <v>246</v>
      </c>
      <c r="B150" s="42" t="s">
        <v>247</v>
      </c>
      <c r="C150" s="45">
        <v>-449754.97</v>
      </c>
      <c r="D150" s="45">
        <v>-4814375</v>
      </c>
      <c r="E150" s="45">
        <v>90.66</v>
      </c>
      <c r="F150" s="45">
        <v>9.34</v>
      </c>
      <c r="G150" s="45">
        <v>-4364620.03</v>
      </c>
      <c r="H150" s="48">
        <f t="shared" si="6"/>
        <v>0</v>
      </c>
      <c r="K150" s="52">
        <f>'Fælles adm.'!I151</f>
        <v>0</v>
      </c>
      <c r="L150" s="52">
        <f>Odense!I151</f>
        <v>0</v>
      </c>
      <c r="M150" s="52">
        <f>Laks!I151</f>
        <v>0</v>
      </c>
      <c r="N150" s="52">
        <f>Assens!I151</f>
        <v>0</v>
      </c>
      <c r="O150" s="52">
        <f>Nyborg!I151</f>
        <v>0</v>
      </c>
      <c r="P150" s="52">
        <f>Nordfyn!I151</f>
        <v>0</v>
      </c>
      <c r="Q150" s="52">
        <f>Kerteminde!I151</f>
        <v>0</v>
      </c>
      <c r="R150" s="52">
        <f>'Særlige tilskud'!I151</f>
        <v>0</v>
      </c>
    </row>
    <row r="151" spans="1:18" x14ac:dyDescent="0.25">
      <c r="A151" s="42" t="s">
        <v>248</v>
      </c>
      <c r="B151" s="42" t="s">
        <v>249</v>
      </c>
      <c r="C151" s="45">
        <v>-109287.71</v>
      </c>
      <c r="D151" s="45">
        <v>-390000</v>
      </c>
      <c r="E151" s="45">
        <v>71.98</v>
      </c>
      <c r="F151" s="45">
        <v>28.02</v>
      </c>
      <c r="G151" s="45">
        <v>-280712.28999999998</v>
      </c>
      <c r="H151" s="48">
        <f t="shared" ref="H151:H197" si="7">SUM(K151:R151)</f>
        <v>-390000</v>
      </c>
      <c r="K151" s="52">
        <f>'Fælles adm.'!I152</f>
        <v>-50000</v>
      </c>
      <c r="L151" s="52">
        <f>Odense!I152</f>
        <v>-120000</v>
      </c>
      <c r="M151" s="52">
        <f>Laks!I152</f>
        <v>-20000</v>
      </c>
      <c r="N151" s="52">
        <f>Assens!I152</f>
        <v>-50000</v>
      </c>
      <c r="O151" s="52">
        <f>Nyborg!I152</f>
        <v>-50000</v>
      </c>
      <c r="P151" s="52">
        <f>Nordfyn!I152</f>
        <v>-50000</v>
      </c>
      <c r="Q151" s="52">
        <f>Kerteminde!I152</f>
        <v>-50000</v>
      </c>
      <c r="R151" s="52">
        <f>'Særlige tilskud'!I152</f>
        <v>0</v>
      </c>
    </row>
    <row r="152" spans="1:18" x14ac:dyDescent="0.25">
      <c r="A152" s="42" t="s">
        <v>250</v>
      </c>
      <c r="B152" s="42" t="s">
        <v>251</v>
      </c>
      <c r="H152" s="48">
        <f t="shared" si="7"/>
        <v>0</v>
      </c>
      <c r="K152" s="52">
        <f>'Fælles adm.'!I153</f>
        <v>0</v>
      </c>
      <c r="L152" s="52">
        <f>Odense!I153</f>
        <v>0</v>
      </c>
      <c r="M152" s="52">
        <f>Laks!I153</f>
        <v>0</v>
      </c>
      <c r="N152" s="52">
        <f>Assens!I153</f>
        <v>0</v>
      </c>
      <c r="O152" s="52">
        <f>Nyborg!I153</f>
        <v>0</v>
      </c>
      <c r="P152" s="52">
        <f>Nordfyn!I153</f>
        <v>0</v>
      </c>
      <c r="Q152" s="52">
        <f>Kerteminde!I153</f>
        <v>0</v>
      </c>
      <c r="R152" s="52">
        <f>'Særlige tilskud'!I153</f>
        <v>0</v>
      </c>
    </row>
    <row r="153" spans="1:18" x14ac:dyDescent="0.25">
      <c r="A153" s="42" t="s">
        <v>252</v>
      </c>
      <c r="B153" s="42" t="s">
        <v>253</v>
      </c>
      <c r="C153" s="45">
        <v>-100431.72</v>
      </c>
      <c r="D153" s="45">
        <v>-70000</v>
      </c>
      <c r="E153" s="45">
        <v>-43.47</v>
      </c>
      <c r="F153" s="45">
        <v>143.47</v>
      </c>
      <c r="G153" s="45">
        <v>30431.72</v>
      </c>
      <c r="H153" s="48">
        <f t="shared" si="7"/>
        <v>-99754.02</v>
      </c>
      <c r="K153" s="52">
        <f>'Fælles adm.'!I154</f>
        <v>0</v>
      </c>
      <c r="L153" s="52">
        <f>Odense!I154</f>
        <v>-10488.3</v>
      </c>
      <c r="M153" s="52">
        <f>Laks!I154</f>
        <v>0</v>
      </c>
      <c r="N153" s="52">
        <f>Assens!I154</f>
        <v>-17374.5</v>
      </c>
      <c r="O153" s="52">
        <f>Nyborg!I154</f>
        <v>0</v>
      </c>
      <c r="P153" s="52">
        <f>Nordfyn!I154</f>
        <v>0</v>
      </c>
      <c r="Q153" s="52">
        <f>Kerteminde!I154</f>
        <v>-71891.22</v>
      </c>
      <c r="R153" s="52">
        <f>'Særlige tilskud'!I154</f>
        <v>0</v>
      </c>
    </row>
    <row r="154" spans="1:18" x14ac:dyDescent="0.25">
      <c r="A154" s="42" t="s">
        <v>254</v>
      </c>
      <c r="B154" s="42" t="s">
        <v>255</v>
      </c>
      <c r="C154" s="45">
        <v>-111985.19</v>
      </c>
      <c r="D154" s="45">
        <v>-213155.18</v>
      </c>
      <c r="E154" s="45">
        <v>47.46</v>
      </c>
      <c r="F154" s="45">
        <v>52.54</v>
      </c>
      <c r="G154" s="45">
        <v>-101169.99</v>
      </c>
      <c r="H154" s="48">
        <f t="shared" si="7"/>
        <v>-203000</v>
      </c>
      <c r="K154" s="52">
        <f>'Fælles adm.'!I155</f>
        <v>-203000</v>
      </c>
      <c r="L154" s="52">
        <f>Odense!I155</f>
        <v>0</v>
      </c>
      <c r="M154" s="52">
        <f>Laks!I155</f>
        <v>0</v>
      </c>
      <c r="N154" s="52">
        <f>Assens!I155</f>
        <v>0</v>
      </c>
      <c r="O154" s="52">
        <f>Nyborg!I155</f>
        <v>0</v>
      </c>
      <c r="P154" s="52">
        <f>Nordfyn!I155</f>
        <v>0</v>
      </c>
      <c r="Q154" s="52">
        <f>Kerteminde!I155</f>
        <v>0</v>
      </c>
      <c r="R154" s="52">
        <f>'Særlige tilskud'!I155</f>
        <v>0</v>
      </c>
    </row>
    <row r="155" spans="1:18" x14ac:dyDescent="0.25">
      <c r="A155" s="42" t="s">
        <v>256</v>
      </c>
      <c r="B155" s="42" t="s">
        <v>257</v>
      </c>
      <c r="D155" s="45">
        <v>-72666.66</v>
      </c>
      <c r="E155" s="45">
        <v>100</v>
      </c>
      <c r="G155" s="45">
        <v>-72666.66</v>
      </c>
      <c r="H155" s="48">
        <f t="shared" si="7"/>
        <v>-56200</v>
      </c>
      <c r="K155" s="52">
        <f>'Fælles adm.'!I156</f>
        <v>0</v>
      </c>
      <c r="L155" s="52">
        <f>Odense!I156</f>
        <v>-22500</v>
      </c>
      <c r="M155" s="52">
        <f>Laks!I156</f>
        <v>0</v>
      </c>
      <c r="N155" s="52">
        <f>Assens!I156</f>
        <v>-8000</v>
      </c>
      <c r="O155" s="52">
        <f>Nyborg!I156</f>
        <v>-8000</v>
      </c>
      <c r="P155" s="52">
        <f>Nordfyn!I156</f>
        <v>-9500</v>
      </c>
      <c r="Q155" s="52">
        <f>Kerteminde!I156</f>
        <v>-8200</v>
      </c>
      <c r="R155" s="52">
        <f>'Særlige tilskud'!I156</f>
        <v>0</v>
      </c>
    </row>
    <row r="156" spans="1:18" x14ac:dyDescent="0.25">
      <c r="A156" s="42" t="s">
        <v>258</v>
      </c>
      <c r="B156" s="42" t="s">
        <v>259</v>
      </c>
      <c r="C156" s="45">
        <v>-193393.85</v>
      </c>
      <c r="D156" s="45">
        <v>-49323.4</v>
      </c>
      <c r="E156" s="45">
        <v>-292.08999999999997</v>
      </c>
      <c r="F156" s="45">
        <v>392.09</v>
      </c>
      <c r="G156" s="45">
        <v>144070.45000000001</v>
      </c>
      <c r="H156" s="48">
        <f t="shared" si="7"/>
        <v>-193393.85</v>
      </c>
      <c r="K156" s="52">
        <f>'Fælles adm.'!I157</f>
        <v>-193393.85</v>
      </c>
      <c r="L156" s="52">
        <f>Odense!I157</f>
        <v>0</v>
      </c>
      <c r="M156" s="52">
        <f>Laks!I157</f>
        <v>0</v>
      </c>
      <c r="N156" s="52">
        <f>Assens!I157</f>
        <v>0</v>
      </c>
      <c r="O156" s="52">
        <f>Nyborg!I157</f>
        <v>0</v>
      </c>
      <c r="P156" s="52">
        <f>Nordfyn!I157</f>
        <v>0</v>
      </c>
      <c r="Q156" s="52">
        <f>Kerteminde!I157</f>
        <v>0</v>
      </c>
      <c r="R156" s="52">
        <f>'Særlige tilskud'!I157</f>
        <v>0</v>
      </c>
    </row>
    <row r="157" spans="1:18" x14ac:dyDescent="0.25">
      <c r="A157" s="42" t="s">
        <v>260</v>
      </c>
      <c r="B157" s="42" t="s">
        <v>261</v>
      </c>
      <c r="D157" s="45">
        <v>-866371</v>
      </c>
      <c r="E157" s="45">
        <v>100</v>
      </c>
      <c r="G157" s="45">
        <v>-866371</v>
      </c>
      <c r="H157" s="48">
        <f t="shared" si="7"/>
        <v>0</v>
      </c>
      <c r="K157" s="52">
        <f>'Fælles adm.'!I158</f>
        <v>0</v>
      </c>
      <c r="L157" s="52">
        <f>Odense!I158</f>
        <v>0</v>
      </c>
      <c r="M157" s="52">
        <f>Laks!I158</f>
        <v>0</v>
      </c>
      <c r="N157" s="52">
        <f>Assens!I158</f>
        <v>0</v>
      </c>
      <c r="O157" s="52">
        <f>Nyborg!I158</f>
        <v>0</v>
      </c>
      <c r="P157" s="52">
        <f>Nordfyn!I158</f>
        <v>0</v>
      </c>
      <c r="Q157" s="52">
        <f>Kerteminde!I158</f>
        <v>0</v>
      </c>
      <c r="R157" s="52">
        <f>'Særlige tilskud'!I158</f>
        <v>0</v>
      </c>
    </row>
    <row r="158" spans="1:18" x14ac:dyDescent="0.25">
      <c r="A158" s="42" t="s">
        <v>262</v>
      </c>
      <c r="B158" s="42" t="s">
        <v>263</v>
      </c>
      <c r="C158" s="45">
        <v>-48932.63</v>
      </c>
      <c r="D158" s="45">
        <v>-1280000</v>
      </c>
      <c r="E158" s="45">
        <v>96.18</v>
      </c>
      <c r="F158" s="45">
        <v>3.82</v>
      </c>
      <c r="G158" s="45">
        <v>-1231067.3700000001</v>
      </c>
      <c r="H158" s="48">
        <f t="shared" si="7"/>
        <v>0</v>
      </c>
      <c r="K158" s="52">
        <f>'Fælles adm.'!I159</f>
        <v>0</v>
      </c>
      <c r="L158" s="52">
        <f>Odense!I159</f>
        <v>0</v>
      </c>
      <c r="M158" s="52">
        <f>Laks!I159</f>
        <v>0</v>
      </c>
      <c r="N158" s="52">
        <f>Assens!I159</f>
        <v>0</v>
      </c>
      <c r="O158" s="52">
        <f>Nyborg!I159</f>
        <v>0</v>
      </c>
      <c r="P158" s="52">
        <f>Nordfyn!I159</f>
        <v>0</v>
      </c>
      <c r="Q158" s="52">
        <f>Kerteminde!I159</f>
        <v>0</v>
      </c>
      <c r="R158" s="52">
        <f>'Særlige tilskud'!I159</f>
        <v>0</v>
      </c>
    </row>
    <row r="159" spans="1:18" x14ac:dyDescent="0.25">
      <c r="A159" s="42" t="s">
        <v>264</v>
      </c>
      <c r="B159" s="42" t="s">
        <v>265</v>
      </c>
      <c r="H159" s="48">
        <f t="shared" si="7"/>
        <v>0</v>
      </c>
      <c r="K159" s="52">
        <f>'Fælles adm.'!I160</f>
        <v>0</v>
      </c>
      <c r="L159" s="52">
        <f>Odense!I160</f>
        <v>0</v>
      </c>
      <c r="M159" s="52">
        <f>Laks!I160</f>
        <v>0</v>
      </c>
      <c r="N159" s="52">
        <f>Assens!I160</f>
        <v>0</v>
      </c>
      <c r="O159" s="52">
        <f>Nyborg!I160</f>
        <v>0</v>
      </c>
      <c r="P159" s="52">
        <f>Nordfyn!I160</f>
        <v>0</v>
      </c>
      <c r="Q159" s="52">
        <f>Kerteminde!I160</f>
        <v>0</v>
      </c>
      <c r="R159" s="52">
        <f>'Særlige tilskud'!I160</f>
        <v>0</v>
      </c>
    </row>
    <row r="160" spans="1:18" x14ac:dyDescent="0.25">
      <c r="A160" s="42" t="s">
        <v>266</v>
      </c>
      <c r="B160" s="42" t="s">
        <v>267</v>
      </c>
      <c r="H160" s="48">
        <f t="shared" si="7"/>
        <v>0</v>
      </c>
      <c r="K160" s="52">
        <f>'Fælles adm.'!I161</f>
        <v>0</v>
      </c>
      <c r="L160" s="52">
        <f>Odense!I161</f>
        <v>0</v>
      </c>
      <c r="M160" s="52">
        <f>Laks!I161</f>
        <v>0</v>
      </c>
      <c r="N160" s="52">
        <f>Assens!I161</f>
        <v>0</v>
      </c>
      <c r="O160" s="52">
        <f>Nyborg!I161</f>
        <v>0</v>
      </c>
      <c r="P160" s="52">
        <f>Nordfyn!I161</f>
        <v>0</v>
      </c>
      <c r="Q160" s="52">
        <f>Kerteminde!I161</f>
        <v>0</v>
      </c>
      <c r="R160" s="52">
        <f>'Særlige tilskud'!I161</f>
        <v>0</v>
      </c>
    </row>
    <row r="161" spans="1:18" x14ac:dyDescent="0.25">
      <c r="A161" s="42" t="s">
        <v>268</v>
      </c>
      <c r="B161" s="42" t="s">
        <v>269</v>
      </c>
      <c r="C161" s="45">
        <v>-702399.28</v>
      </c>
      <c r="D161" s="45">
        <v>-1508000</v>
      </c>
      <c r="E161" s="45">
        <v>53.42</v>
      </c>
      <c r="F161" s="45">
        <v>46.58</v>
      </c>
      <c r="G161" s="45">
        <v>-805600.72</v>
      </c>
      <c r="H161" s="48">
        <f t="shared" si="7"/>
        <v>-1567771.94</v>
      </c>
      <c r="K161" s="52">
        <f>'Fælles adm.'!I162</f>
        <v>-928100.5</v>
      </c>
      <c r="L161" s="52">
        <f>Odense!I162</f>
        <v>0</v>
      </c>
      <c r="M161" s="52">
        <f>Laks!I162</f>
        <v>-639671.43999999994</v>
      </c>
      <c r="N161" s="52">
        <f>Assens!I162</f>
        <v>0</v>
      </c>
      <c r="O161" s="52">
        <f>Nyborg!I162</f>
        <v>0</v>
      </c>
      <c r="P161" s="52">
        <f>Nordfyn!I162</f>
        <v>0</v>
      </c>
      <c r="Q161" s="52">
        <f>Kerteminde!I162</f>
        <v>0</v>
      </c>
      <c r="R161" s="52">
        <f>'Særlige tilskud'!I162</f>
        <v>0</v>
      </c>
    </row>
    <row r="162" spans="1:18" x14ac:dyDescent="0.25">
      <c r="A162" s="42" t="s">
        <v>270</v>
      </c>
      <c r="B162" s="42" t="s">
        <v>271</v>
      </c>
      <c r="C162" s="45">
        <v>-354702.35</v>
      </c>
      <c r="D162" s="45">
        <v>-793000</v>
      </c>
      <c r="E162" s="45">
        <v>55.27</v>
      </c>
      <c r="F162" s="45">
        <v>44.73</v>
      </c>
      <c r="G162" s="45">
        <v>-438297.65</v>
      </c>
      <c r="H162" s="48">
        <f t="shared" si="7"/>
        <v>-740046.39999999991</v>
      </c>
      <c r="K162" s="52">
        <f>'Fælles adm.'!I163</f>
        <v>-725046.39999999991</v>
      </c>
      <c r="L162" s="52">
        <f>Odense!I163</f>
        <v>0</v>
      </c>
      <c r="M162" s="52">
        <f>Laks!I163</f>
        <v>-15000</v>
      </c>
      <c r="N162" s="52">
        <f>Assens!I163</f>
        <v>0</v>
      </c>
      <c r="O162" s="52">
        <f>Nyborg!I163</f>
        <v>0</v>
      </c>
      <c r="P162" s="52">
        <f>Nordfyn!I163</f>
        <v>0</v>
      </c>
      <c r="Q162" s="52">
        <f>Kerteminde!I163</f>
        <v>0</v>
      </c>
      <c r="R162" s="52">
        <f>'Særlige tilskud'!I163</f>
        <v>0</v>
      </c>
    </row>
    <row r="163" spans="1:18" x14ac:dyDescent="0.25">
      <c r="A163" s="42" t="s">
        <v>272</v>
      </c>
      <c r="B163" s="42" t="s">
        <v>273</v>
      </c>
      <c r="C163" s="45">
        <v>-237134.32</v>
      </c>
      <c r="D163" s="45">
        <v>-324642</v>
      </c>
      <c r="E163" s="45">
        <v>26.96</v>
      </c>
      <c r="F163" s="45">
        <v>73.040000000000006</v>
      </c>
      <c r="G163" s="45">
        <v>-87507.68</v>
      </c>
      <c r="H163" s="48">
        <f t="shared" si="7"/>
        <v>-519585.14</v>
      </c>
      <c r="K163" s="52">
        <f>'Fælles adm.'!I164</f>
        <v>-236933.12</v>
      </c>
      <c r="L163" s="52">
        <f>Odense!I164</f>
        <v>0</v>
      </c>
      <c r="M163" s="52">
        <f>Laks!I164</f>
        <v>-282652.02</v>
      </c>
      <c r="N163" s="52">
        <f>Assens!I164</f>
        <v>0</v>
      </c>
      <c r="O163" s="52">
        <f>Nyborg!I164</f>
        <v>0</v>
      </c>
      <c r="P163" s="52">
        <f>Nordfyn!I164</f>
        <v>0</v>
      </c>
      <c r="Q163" s="52">
        <f>Kerteminde!I164</f>
        <v>0</v>
      </c>
      <c r="R163" s="52">
        <f>'Særlige tilskud'!I164</f>
        <v>0</v>
      </c>
    </row>
    <row r="164" spans="1:18" x14ac:dyDescent="0.25">
      <c r="A164" s="42" t="s">
        <v>274</v>
      </c>
      <c r="B164" s="42" t="s">
        <v>275</v>
      </c>
      <c r="C164" s="45">
        <v>-22626.59</v>
      </c>
      <c r="D164" s="45">
        <v>-78500</v>
      </c>
      <c r="E164" s="45">
        <v>71.180000000000007</v>
      </c>
      <c r="F164" s="45">
        <v>28.82</v>
      </c>
      <c r="G164" s="45">
        <v>-55873.41</v>
      </c>
      <c r="H164" s="48">
        <f t="shared" si="7"/>
        <v>-78500</v>
      </c>
      <c r="K164" s="52">
        <f>'Fælles adm.'!I165</f>
        <v>-78500</v>
      </c>
      <c r="L164" s="52">
        <f>Odense!I165</f>
        <v>0</v>
      </c>
      <c r="M164" s="52">
        <f>Laks!I165</f>
        <v>0</v>
      </c>
      <c r="N164" s="52">
        <f>Assens!I165</f>
        <v>0</v>
      </c>
      <c r="O164" s="52">
        <f>Nyborg!I165</f>
        <v>0</v>
      </c>
      <c r="P164" s="52">
        <f>Nordfyn!I165</f>
        <v>0</v>
      </c>
      <c r="Q164" s="52">
        <f>Kerteminde!I165</f>
        <v>0</v>
      </c>
      <c r="R164" s="52">
        <f>'Særlige tilskud'!I165</f>
        <v>0</v>
      </c>
    </row>
    <row r="165" spans="1:18" x14ac:dyDescent="0.25">
      <c r="A165" s="42" t="s">
        <v>276</v>
      </c>
      <c r="B165" s="42" t="s">
        <v>277</v>
      </c>
      <c r="C165" s="45">
        <v>-12992.86</v>
      </c>
      <c r="D165" s="45">
        <v>-84000</v>
      </c>
      <c r="E165" s="45">
        <v>84.53</v>
      </c>
      <c r="F165" s="45">
        <v>15.47</v>
      </c>
      <c r="G165" s="45">
        <v>-71007.14</v>
      </c>
      <c r="H165" s="48">
        <f t="shared" si="7"/>
        <v>-84407.85</v>
      </c>
      <c r="K165" s="52">
        <f>'Fælles adm.'!I166</f>
        <v>-84000</v>
      </c>
      <c r="L165" s="52">
        <f>Odense!I166</f>
        <v>0</v>
      </c>
      <c r="M165" s="52">
        <f>Laks!I166</f>
        <v>-407.85</v>
      </c>
      <c r="N165" s="52">
        <f>Assens!I166</f>
        <v>0</v>
      </c>
      <c r="O165" s="52">
        <f>Nyborg!I166</f>
        <v>0</v>
      </c>
      <c r="P165" s="52">
        <f>Nordfyn!I166</f>
        <v>0</v>
      </c>
      <c r="Q165" s="52">
        <f>Kerteminde!I166</f>
        <v>0</v>
      </c>
      <c r="R165" s="52">
        <f>'Særlige tilskud'!I166</f>
        <v>0</v>
      </c>
    </row>
    <row r="166" spans="1:18" x14ac:dyDescent="0.25">
      <c r="A166" s="42" t="s">
        <v>278</v>
      </c>
      <c r="B166" s="42" t="s">
        <v>279</v>
      </c>
      <c r="C166" s="45">
        <v>229516.88</v>
      </c>
      <c r="G166" s="45">
        <v>-229516.88</v>
      </c>
      <c r="H166" s="48">
        <f t="shared" si="7"/>
        <v>459033.76</v>
      </c>
      <c r="K166" s="52">
        <f>'Fælles adm.'!I167</f>
        <v>0</v>
      </c>
      <c r="L166" s="52">
        <f>Odense!I167</f>
        <v>0</v>
      </c>
      <c r="M166" s="52">
        <f>Laks!I167</f>
        <v>459033.76</v>
      </c>
      <c r="N166" s="52">
        <f>Assens!I167</f>
        <v>0</v>
      </c>
      <c r="O166" s="52">
        <f>Nyborg!I167</f>
        <v>0</v>
      </c>
      <c r="P166" s="52">
        <f>Nordfyn!I167</f>
        <v>0</v>
      </c>
      <c r="Q166" s="52">
        <f>Kerteminde!I167</f>
        <v>0</v>
      </c>
      <c r="R166" s="52">
        <f>'Særlige tilskud'!I167</f>
        <v>0</v>
      </c>
    </row>
    <row r="167" spans="1:18" x14ac:dyDescent="0.25">
      <c r="A167" s="42" t="s">
        <v>280</v>
      </c>
      <c r="B167" s="42" t="s">
        <v>281</v>
      </c>
      <c r="C167" s="45">
        <v>-275829.33</v>
      </c>
      <c r="D167" s="45">
        <v>-580000</v>
      </c>
      <c r="E167" s="45">
        <v>52.44</v>
      </c>
      <c r="F167" s="45">
        <v>47.56</v>
      </c>
      <c r="G167" s="45">
        <v>-304170.67</v>
      </c>
      <c r="H167" s="48">
        <f t="shared" si="7"/>
        <v>-604459.51</v>
      </c>
      <c r="K167" s="52">
        <f>'Fælles adm.'!I168</f>
        <v>-400000</v>
      </c>
      <c r="L167" s="52">
        <f>Odense!I168</f>
        <v>-70000</v>
      </c>
      <c r="M167" s="52">
        <f>Laks!I168</f>
        <v>0</v>
      </c>
      <c r="N167" s="52">
        <f>Assens!I168</f>
        <v>-20000</v>
      </c>
      <c r="O167" s="52">
        <f>Nyborg!I168</f>
        <v>-10000</v>
      </c>
      <c r="P167" s="52">
        <f>Nordfyn!I168</f>
        <v>-74459.509999999995</v>
      </c>
      <c r="Q167" s="52">
        <f>Kerteminde!I168</f>
        <v>-30000</v>
      </c>
      <c r="R167" s="52">
        <f>'Særlige tilskud'!I168</f>
        <v>0</v>
      </c>
    </row>
    <row r="168" spans="1:18" x14ac:dyDescent="0.25">
      <c r="A168" s="42" t="s">
        <v>282</v>
      </c>
      <c r="B168" s="42" t="s">
        <v>283</v>
      </c>
      <c r="C168" s="45">
        <v>-944196.49</v>
      </c>
      <c r="D168" s="45">
        <v>-2200000</v>
      </c>
      <c r="E168" s="45">
        <v>57.08</v>
      </c>
      <c r="F168" s="45">
        <v>42.92</v>
      </c>
      <c r="G168" s="45">
        <v>-1255803.51</v>
      </c>
      <c r="H168" s="48">
        <f t="shared" si="7"/>
        <v>-2200000</v>
      </c>
      <c r="K168" s="52">
        <f>'Fælles adm.'!I169</f>
        <v>-2200000</v>
      </c>
      <c r="L168" s="52">
        <f>Odense!I169</f>
        <v>0</v>
      </c>
      <c r="M168" s="52">
        <f>Laks!I169</f>
        <v>0</v>
      </c>
      <c r="N168" s="52">
        <f>Assens!I169</f>
        <v>0</v>
      </c>
      <c r="O168" s="52">
        <f>Nyborg!I169</f>
        <v>0</v>
      </c>
      <c r="P168" s="52">
        <f>Nordfyn!I169</f>
        <v>0</v>
      </c>
      <c r="Q168" s="52">
        <f>Kerteminde!I169</f>
        <v>0</v>
      </c>
      <c r="R168" s="52">
        <f>'Særlige tilskud'!I169</f>
        <v>0</v>
      </c>
    </row>
    <row r="169" spans="1:18" x14ac:dyDescent="0.25">
      <c r="A169" s="42" t="s">
        <v>284</v>
      </c>
      <c r="B169" s="42" t="s">
        <v>285</v>
      </c>
      <c r="C169" s="45">
        <v>-109624.75</v>
      </c>
      <c r="D169" s="45">
        <v>-350000</v>
      </c>
      <c r="E169" s="45">
        <v>68.680000000000007</v>
      </c>
      <c r="F169" s="45">
        <v>31.32</v>
      </c>
      <c r="G169" s="45">
        <v>-240375.25</v>
      </c>
      <c r="H169" s="48">
        <f t="shared" si="7"/>
        <v>-300000</v>
      </c>
      <c r="K169" s="52">
        <f>'Fælles adm.'!I170</f>
        <v>-300000</v>
      </c>
      <c r="L169" s="52">
        <f>Odense!I170</f>
        <v>0</v>
      </c>
      <c r="M169" s="52">
        <f>Laks!I170</f>
        <v>0</v>
      </c>
      <c r="N169" s="52">
        <f>Assens!I170</f>
        <v>0</v>
      </c>
      <c r="O169" s="52">
        <f>Nyborg!I170</f>
        <v>0</v>
      </c>
      <c r="P169" s="52">
        <f>Nordfyn!I170</f>
        <v>0</v>
      </c>
      <c r="Q169" s="52">
        <f>Kerteminde!I170</f>
        <v>0</v>
      </c>
      <c r="R169" s="52">
        <f>'Særlige tilskud'!I170</f>
        <v>0</v>
      </c>
    </row>
    <row r="170" spans="1:18" x14ac:dyDescent="0.25">
      <c r="A170" s="42" t="s">
        <v>286</v>
      </c>
      <c r="B170" s="42" t="s">
        <v>287</v>
      </c>
      <c r="C170" s="45">
        <v>-38500</v>
      </c>
      <c r="D170" s="45">
        <v>-50000</v>
      </c>
      <c r="E170" s="45">
        <v>23</v>
      </c>
      <c r="F170" s="45">
        <v>77</v>
      </c>
      <c r="G170" s="45">
        <v>-11500</v>
      </c>
      <c r="H170" s="48">
        <f t="shared" si="7"/>
        <v>-100000</v>
      </c>
      <c r="K170" s="52">
        <f>'Fælles adm.'!I171</f>
        <v>-100000</v>
      </c>
      <c r="L170" s="52">
        <f>Odense!I171</f>
        <v>0</v>
      </c>
      <c r="M170" s="52">
        <f>Laks!I171</f>
        <v>0</v>
      </c>
      <c r="N170" s="52">
        <f>Assens!I171</f>
        <v>0</v>
      </c>
      <c r="O170" s="52">
        <f>Nyborg!I171</f>
        <v>0</v>
      </c>
      <c r="P170" s="52">
        <f>Nordfyn!I171</f>
        <v>0</v>
      </c>
      <c r="Q170" s="52">
        <f>Kerteminde!I171</f>
        <v>0</v>
      </c>
      <c r="R170" s="52">
        <f>'Særlige tilskud'!I171</f>
        <v>0</v>
      </c>
    </row>
    <row r="171" spans="1:18" x14ac:dyDescent="0.25">
      <c r="A171" s="42" t="s">
        <v>288</v>
      </c>
      <c r="B171" s="42" t="s">
        <v>289</v>
      </c>
      <c r="C171" s="45">
        <v>-231872.5</v>
      </c>
      <c r="D171" s="45">
        <v>-296956.57</v>
      </c>
      <c r="E171" s="45">
        <v>21.92</v>
      </c>
      <c r="F171" s="45">
        <v>78.08</v>
      </c>
      <c r="G171" s="45">
        <v>-65084.07</v>
      </c>
      <c r="H171" s="48">
        <f t="shared" si="7"/>
        <v>-240900</v>
      </c>
      <c r="K171" s="52">
        <f>'Fælles adm.'!I172</f>
        <v>-200000</v>
      </c>
      <c r="L171" s="52">
        <f>Odense!I172</f>
        <v>-25000</v>
      </c>
      <c r="M171" s="52">
        <f>Laks!I172</f>
        <v>-15900</v>
      </c>
      <c r="N171" s="52">
        <f>Assens!I172</f>
        <v>0</v>
      </c>
      <c r="O171" s="52">
        <f>Nyborg!I172</f>
        <v>0</v>
      </c>
      <c r="P171" s="52">
        <f>Nordfyn!I172</f>
        <v>0</v>
      </c>
      <c r="Q171" s="52">
        <f>Kerteminde!I172</f>
        <v>0</v>
      </c>
      <c r="R171" s="52">
        <f>'Særlige tilskud'!I172</f>
        <v>0</v>
      </c>
    </row>
    <row r="172" spans="1:18" x14ac:dyDescent="0.25">
      <c r="A172" s="42" t="s">
        <v>290</v>
      </c>
      <c r="B172" s="42" t="s">
        <v>291</v>
      </c>
      <c r="C172" s="45">
        <v>-6644.8</v>
      </c>
      <c r="D172" s="45">
        <v>-72000</v>
      </c>
      <c r="E172" s="45">
        <v>90.77</v>
      </c>
      <c r="F172" s="45">
        <v>9.23</v>
      </c>
      <c r="G172" s="45">
        <v>-65355.199999999997</v>
      </c>
      <c r="H172" s="48">
        <f t="shared" si="7"/>
        <v>-72000</v>
      </c>
      <c r="K172" s="52">
        <f>'Fælles adm.'!I173</f>
        <v>0</v>
      </c>
      <c r="L172" s="52">
        <f>Odense!I173</f>
        <v>-11000</v>
      </c>
      <c r="M172" s="52">
        <f>Laks!I173</f>
        <v>0</v>
      </c>
      <c r="N172" s="52">
        <f>Assens!I173</f>
        <v>-15000</v>
      </c>
      <c r="O172" s="52">
        <f>Nyborg!I173</f>
        <v>-10000</v>
      </c>
      <c r="P172" s="52">
        <f>Nordfyn!I173</f>
        <v>-20000</v>
      </c>
      <c r="Q172" s="52">
        <f>Kerteminde!I173</f>
        <v>-16000</v>
      </c>
      <c r="R172" s="52">
        <f>'Særlige tilskud'!I173</f>
        <v>0</v>
      </c>
    </row>
    <row r="173" spans="1:18" x14ac:dyDescent="0.25">
      <c r="A173" s="42" t="s">
        <v>292</v>
      </c>
      <c r="B173" s="42" t="s">
        <v>293</v>
      </c>
      <c r="C173" s="45">
        <v>-101017.71</v>
      </c>
      <c r="D173" s="45">
        <v>-270787.61</v>
      </c>
      <c r="E173" s="45">
        <v>62.69</v>
      </c>
      <c r="F173" s="45">
        <v>37.31</v>
      </c>
      <c r="G173" s="45">
        <v>-169769.9</v>
      </c>
      <c r="H173" s="48">
        <f t="shared" si="7"/>
        <v>-553600</v>
      </c>
      <c r="K173" s="52">
        <f>'Fælles adm.'!I174</f>
        <v>-291800</v>
      </c>
      <c r="L173" s="52">
        <f>Odense!I174</f>
        <v>-80000</v>
      </c>
      <c r="M173" s="52">
        <f>Laks!I174</f>
        <v>-15000</v>
      </c>
      <c r="N173" s="52">
        <f>Assens!I174</f>
        <v>-52000</v>
      </c>
      <c r="O173" s="52">
        <f>Nyborg!I174</f>
        <v>-20000</v>
      </c>
      <c r="P173" s="52">
        <f>Nordfyn!I174</f>
        <v>-52800</v>
      </c>
      <c r="Q173" s="52">
        <f>Kerteminde!I174</f>
        <v>-42000</v>
      </c>
      <c r="R173" s="52">
        <f>'Særlige tilskud'!I174</f>
        <v>0</v>
      </c>
    </row>
    <row r="174" spans="1:18" x14ac:dyDescent="0.25">
      <c r="A174" s="42" t="s">
        <v>294</v>
      </c>
      <c r="B174" s="42" t="s">
        <v>295</v>
      </c>
      <c r="C174" s="45">
        <v>-2147078.29</v>
      </c>
      <c r="D174" s="45">
        <v>-238558.88</v>
      </c>
      <c r="E174" s="45">
        <v>-800.02</v>
      </c>
      <c r="F174" s="45">
        <v>900.02</v>
      </c>
      <c r="G174" s="45">
        <v>1908519.41</v>
      </c>
      <c r="H174" s="48">
        <f t="shared" si="7"/>
        <v>-200000</v>
      </c>
      <c r="K174" s="52">
        <f>'Fælles adm.'!I175</f>
        <v>-200000</v>
      </c>
      <c r="L174" s="52">
        <f>Odense!I175</f>
        <v>0</v>
      </c>
      <c r="M174" s="52">
        <f>Laks!I175</f>
        <v>0</v>
      </c>
      <c r="N174" s="52">
        <f>Assens!I175</f>
        <v>0</v>
      </c>
      <c r="O174" s="52">
        <f>Nyborg!I175</f>
        <v>0</v>
      </c>
      <c r="P174" s="52">
        <f>Nordfyn!I175</f>
        <v>0</v>
      </c>
      <c r="Q174" s="52">
        <f>Kerteminde!I175</f>
        <v>0</v>
      </c>
      <c r="R174" s="52">
        <f>'Særlige tilskud'!I175</f>
        <v>0</v>
      </c>
    </row>
    <row r="175" spans="1:18" x14ac:dyDescent="0.25">
      <c r="A175" s="42" t="s">
        <v>296</v>
      </c>
      <c r="B175" s="42" t="s">
        <v>297</v>
      </c>
      <c r="C175" s="45">
        <v>-21284.19</v>
      </c>
      <c r="D175" s="45">
        <v>-64200</v>
      </c>
      <c r="E175" s="45">
        <v>66.849999999999994</v>
      </c>
      <c r="F175" s="45">
        <v>33.15</v>
      </c>
      <c r="G175" s="45">
        <v>-42915.81</v>
      </c>
      <c r="H175" s="48">
        <f t="shared" si="7"/>
        <v>-34300</v>
      </c>
      <c r="K175" s="52">
        <f>'Fælles adm.'!I176</f>
        <v>-20000</v>
      </c>
      <c r="L175" s="52">
        <f>Odense!I176</f>
        <v>-6000</v>
      </c>
      <c r="M175" s="52">
        <f>Laks!I176</f>
        <v>-100</v>
      </c>
      <c r="N175" s="52">
        <f>Assens!I176</f>
        <v>-1200</v>
      </c>
      <c r="O175" s="52">
        <f>Nyborg!I176</f>
        <v>-1000</v>
      </c>
      <c r="P175" s="52">
        <f>Nordfyn!I176</f>
        <v>-3000</v>
      </c>
      <c r="Q175" s="52">
        <f>Kerteminde!I176</f>
        <v>-3000</v>
      </c>
      <c r="R175" s="52">
        <f>'Særlige tilskud'!I176</f>
        <v>0</v>
      </c>
    </row>
    <row r="176" spans="1:18" x14ac:dyDescent="0.25">
      <c r="A176" s="42" t="s">
        <v>298</v>
      </c>
      <c r="B176" s="42" t="s">
        <v>299</v>
      </c>
      <c r="C176" s="45">
        <v>-510707.83</v>
      </c>
      <c r="D176" s="45">
        <v>-1222000</v>
      </c>
      <c r="E176" s="45">
        <v>58.21</v>
      </c>
      <c r="F176" s="45">
        <v>41.79</v>
      </c>
      <c r="G176" s="45">
        <v>-711292.17</v>
      </c>
      <c r="H176" s="48">
        <f t="shared" si="7"/>
        <v>-1222000</v>
      </c>
      <c r="K176" s="52">
        <f>'Fælles adm.'!I177</f>
        <v>0</v>
      </c>
      <c r="L176" s="52">
        <f>Odense!I177</f>
        <v>-400000</v>
      </c>
      <c r="M176" s="52">
        <f>Laks!I177</f>
        <v>0</v>
      </c>
      <c r="N176" s="52">
        <f>Assens!I177</f>
        <v>-250000</v>
      </c>
      <c r="O176" s="52">
        <f>Nyborg!I177</f>
        <v>-140000</v>
      </c>
      <c r="P176" s="52">
        <f>Nordfyn!I177</f>
        <v>-350000</v>
      </c>
      <c r="Q176" s="52">
        <f>Kerteminde!I177</f>
        <v>-82000</v>
      </c>
      <c r="R176" s="52">
        <f>'Særlige tilskud'!I177</f>
        <v>0</v>
      </c>
    </row>
    <row r="177" spans="1:18" x14ac:dyDescent="0.25">
      <c r="A177" s="42" t="s">
        <v>300</v>
      </c>
      <c r="B177" s="42" t="s">
        <v>301</v>
      </c>
      <c r="C177" s="45">
        <v>-272512.19</v>
      </c>
      <c r="D177" s="45">
        <v>-96619</v>
      </c>
      <c r="E177" s="45">
        <v>-182.05</v>
      </c>
      <c r="F177" s="45">
        <v>282.05</v>
      </c>
      <c r="G177" s="45">
        <v>175893.19</v>
      </c>
      <c r="H177" s="48">
        <f t="shared" si="7"/>
        <v>-339482.96</v>
      </c>
      <c r="K177" s="52">
        <f>'Fælles adm.'!I178</f>
        <v>-290000</v>
      </c>
      <c r="L177" s="52">
        <f>Odense!I178</f>
        <v>-10157.959999999999</v>
      </c>
      <c r="M177" s="52">
        <f>Laks!I178</f>
        <v>-14619</v>
      </c>
      <c r="N177" s="52">
        <f>Assens!I178</f>
        <v>-15000</v>
      </c>
      <c r="O177" s="52">
        <f>Nyborg!I178</f>
        <v>-4000</v>
      </c>
      <c r="P177" s="52">
        <f>Nordfyn!I178</f>
        <v>-5706</v>
      </c>
      <c r="Q177" s="52">
        <f>Kerteminde!I178</f>
        <v>0</v>
      </c>
      <c r="R177" s="52">
        <f>'Særlige tilskud'!I178</f>
        <v>0</v>
      </c>
    </row>
    <row r="178" spans="1:18" x14ac:dyDescent="0.25">
      <c r="A178" s="42" t="s">
        <v>302</v>
      </c>
      <c r="B178" s="42" t="s">
        <v>303</v>
      </c>
      <c r="C178" s="45">
        <v>-21386.720000000001</v>
      </c>
      <c r="D178" s="45">
        <v>-68000</v>
      </c>
      <c r="E178" s="45">
        <v>68.55</v>
      </c>
      <c r="F178" s="45">
        <v>31.45</v>
      </c>
      <c r="G178" s="45">
        <v>-46613.279999999999</v>
      </c>
      <c r="H178" s="48">
        <f t="shared" si="7"/>
        <v>-68551</v>
      </c>
      <c r="K178" s="52">
        <f>'Fælles adm.'!I179</f>
        <v>-20000</v>
      </c>
      <c r="L178" s="52">
        <f>Odense!I179</f>
        <v>-15000</v>
      </c>
      <c r="M178" s="52">
        <f>Laks!I179</f>
        <v>-551</v>
      </c>
      <c r="N178" s="52">
        <f>Assens!I179</f>
        <v>-10000</v>
      </c>
      <c r="O178" s="52">
        <f>Nyborg!I179</f>
        <v>0</v>
      </c>
      <c r="P178" s="52">
        <f>Nordfyn!I179</f>
        <v>-5000</v>
      </c>
      <c r="Q178" s="52">
        <f>Kerteminde!I179</f>
        <v>-18000</v>
      </c>
      <c r="R178" s="52">
        <f>'Særlige tilskud'!I179</f>
        <v>0</v>
      </c>
    </row>
    <row r="179" spans="1:18" x14ac:dyDescent="0.25">
      <c r="A179" s="42" t="s">
        <v>304</v>
      </c>
      <c r="B179" s="42" t="s">
        <v>305</v>
      </c>
      <c r="D179" s="45">
        <v>-90000</v>
      </c>
      <c r="E179" s="45">
        <v>100</v>
      </c>
      <c r="G179" s="45">
        <v>-90000</v>
      </c>
      <c r="H179" s="48">
        <f t="shared" si="7"/>
        <v>-45000</v>
      </c>
      <c r="K179" s="52">
        <f>'Fælles adm.'!I180</f>
        <v>-20000</v>
      </c>
      <c r="L179" s="52">
        <f>Odense!I180</f>
        <v>-5000</v>
      </c>
      <c r="M179" s="52">
        <f>Laks!I180</f>
        <v>0</v>
      </c>
      <c r="N179" s="52">
        <f>Assens!I180</f>
        <v>-5000</v>
      </c>
      <c r="O179" s="52">
        <f>Nyborg!I180</f>
        <v>-5000</v>
      </c>
      <c r="P179" s="52">
        <f>Nordfyn!I180</f>
        <v>-5000</v>
      </c>
      <c r="Q179" s="52">
        <f>Kerteminde!I180</f>
        <v>-5000</v>
      </c>
      <c r="R179" s="52">
        <f>'Særlige tilskud'!I180</f>
        <v>0</v>
      </c>
    </row>
    <row r="180" spans="1:18" x14ac:dyDescent="0.25">
      <c r="A180" s="42" t="s">
        <v>306</v>
      </c>
      <c r="B180" s="42" t="s">
        <v>307</v>
      </c>
      <c r="C180" s="45">
        <v>-157927.48000000001</v>
      </c>
      <c r="D180" s="45">
        <v>-165000</v>
      </c>
      <c r="E180" s="45">
        <v>4.29</v>
      </c>
      <c r="F180" s="45">
        <v>95.71</v>
      </c>
      <c r="G180" s="45">
        <v>-7072.52</v>
      </c>
      <c r="H180" s="48">
        <f t="shared" si="7"/>
        <v>-265000</v>
      </c>
      <c r="K180" s="52">
        <f>'Fælles adm.'!I181</f>
        <v>0</v>
      </c>
      <c r="L180" s="52">
        <f>Odense!I181</f>
        <v>-200000</v>
      </c>
      <c r="M180" s="52">
        <f>Laks!I181</f>
        <v>-10000</v>
      </c>
      <c r="N180" s="52">
        <f>Assens!I181</f>
        <v>-15000</v>
      </c>
      <c r="O180" s="52">
        <f>Nyborg!I181</f>
        <v>0</v>
      </c>
      <c r="P180" s="52">
        <f>Nordfyn!I181</f>
        <v>-10000</v>
      </c>
      <c r="Q180" s="52">
        <f>Kerteminde!I181</f>
        <v>-30000</v>
      </c>
      <c r="R180" s="52">
        <f>'Særlige tilskud'!I181</f>
        <v>0</v>
      </c>
    </row>
    <row r="181" spans="1:18" x14ac:dyDescent="0.25">
      <c r="A181" s="42" t="s">
        <v>308</v>
      </c>
      <c r="B181" s="42" t="s">
        <v>309</v>
      </c>
      <c r="C181" s="45">
        <v>28225.93</v>
      </c>
      <c r="D181" s="45">
        <v>-960000</v>
      </c>
      <c r="E181" s="45">
        <v>102.94</v>
      </c>
      <c r="F181" s="45">
        <v>-2.94</v>
      </c>
      <c r="G181" s="45">
        <v>-988225.93</v>
      </c>
      <c r="H181" s="48">
        <f t="shared" si="7"/>
        <v>-490000</v>
      </c>
      <c r="K181" s="52">
        <f>'Fælles adm.'!I182</f>
        <v>-200000</v>
      </c>
      <c r="L181" s="52">
        <f>Odense!I182</f>
        <v>-80000</v>
      </c>
      <c r="M181" s="52">
        <f>Laks!I182</f>
        <v>-100000</v>
      </c>
      <c r="N181" s="52">
        <f>Assens!I182</f>
        <v>-20000</v>
      </c>
      <c r="O181" s="52">
        <f>Nyborg!I182</f>
        <v>-20000</v>
      </c>
      <c r="P181" s="52">
        <f>Nordfyn!I182</f>
        <v>-50000</v>
      </c>
      <c r="Q181" s="52">
        <f>Kerteminde!I182</f>
        <v>-20000</v>
      </c>
      <c r="R181" s="52">
        <f>'Særlige tilskud'!I182</f>
        <v>0</v>
      </c>
    </row>
    <row r="182" spans="1:18" x14ac:dyDescent="0.25">
      <c r="A182" s="42" t="s">
        <v>310</v>
      </c>
      <c r="B182" s="42" t="s">
        <v>311</v>
      </c>
      <c r="C182" s="45">
        <v>-1902</v>
      </c>
      <c r="D182" s="45">
        <v>-5100</v>
      </c>
      <c r="E182" s="45">
        <v>62.71</v>
      </c>
      <c r="F182" s="45">
        <v>37.29</v>
      </c>
      <c r="G182" s="45">
        <v>-3198</v>
      </c>
      <c r="H182" s="48">
        <f t="shared" si="7"/>
        <v>-5500</v>
      </c>
      <c r="K182" s="52">
        <f>'Fælles adm.'!I183</f>
        <v>-500</v>
      </c>
      <c r="L182" s="52">
        <f>Odense!I183</f>
        <v>0</v>
      </c>
      <c r="M182" s="52">
        <f>Laks!I183</f>
        <v>0</v>
      </c>
      <c r="N182" s="52">
        <f>Assens!I183</f>
        <v>-5000</v>
      </c>
      <c r="O182" s="52">
        <f>Nyborg!I183</f>
        <v>0</v>
      </c>
      <c r="P182" s="52">
        <f>Nordfyn!I183</f>
        <v>0</v>
      </c>
      <c r="Q182" s="52">
        <f>Kerteminde!I183</f>
        <v>0</v>
      </c>
      <c r="R182" s="52">
        <f>'Særlige tilskud'!I183</f>
        <v>0</v>
      </c>
    </row>
    <row r="183" spans="1:18" x14ac:dyDescent="0.25">
      <c r="A183" s="42" t="s">
        <v>312</v>
      </c>
      <c r="B183" s="42" t="s">
        <v>313</v>
      </c>
      <c r="C183" s="45">
        <v>-122788.16</v>
      </c>
      <c r="D183" s="45">
        <v>-340000.02</v>
      </c>
      <c r="E183" s="45">
        <v>63.89</v>
      </c>
      <c r="F183" s="45">
        <v>36.11</v>
      </c>
      <c r="G183" s="45">
        <v>-217211.86</v>
      </c>
      <c r="H183" s="48">
        <f t="shared" si="7"/>
        <v>-328166.67000000004</v>
      </c>
      <c r="K183" s="52">
        <f>'Fælles adm.'!I184</f>
        <v>-15000</v>
      </c>
      <c r="L183" s="52">
        <f>Odense!I184</f>
        <v>-145166.67000000001</v>
      </c>
      <c r="M183" s="52">
        <f>Laks!I184</f>
        <v>0</v>
      </c>
      <c r="N183" s="52">
        <f>Assens!I184</f>
        <v>-32000</v>
      </c>
      <c r="O183" s="52">
        <f>Nyborg!I184</f>
        <v>-43666.67</v>
      </c>
      <c r="P183" s="52">
        <f>Nordfyn!I184</f>
        <v>-51333.33</v>
      </c>
      <c r="Q183" s="52">
        <f>Kerteminde!I184</f>
        <v>-41000</v>
      </c>
      <c r="R183" s="52">
        <f>'Særlige tilskud'!I184</f>
        <v>0</v>
      </c>
    </row>
    <row r="184" spans="1:18" x14ac:dyDescent="0.25">
      <c r="A184" s="42" t="s">
        <v>314</v>
      </c>
      <c r="B184" s="42" t="s">
        <v>315</v>
      </c>
      <c r="C184" s="45">
        <v>-53954.52</v>
      </c>
      <c r="D184" s="45">
        <v>-263500</v>
      </c>
      <c r="E184" s="45">
        <v>79.52</v>
      </c>
      <c r="F184" s="45">
        <v>20.48</v>
      </c>
      <c r="G184" s="45">
        <v>-209545.48</v>
      </c>
      <c r="H184" s="48">
        <f t="shared" si="7"/>
        <v>-229500</v>
      </c>
      <c r="K184" s="52">
        <f>'Fælles adm.'!I185</f>
        <v>-4500</v>
      </c>
      <c r="L184" s="52">
        <f>Odense!I185</f>
        <v>-75000</v>
      </c>
      <c r="M184" s="52">
        <f>Laks!I185</f>
        <v>-20000</v>
      </c>
      <c r="N184" s="52">
        <f>Assens!I185</f>
        <v>-20000</v>
      </c>
      <c r="O184" s="52">
        <f>Nyborg!I185</f>
        <v>-25000</v>
      </c>
      <c r="P184" s="52">
        <f>Nordfyn!I185</f>
        <v>-60000</v>
      </c>
      <c r="Q184" s="52">
        <f>Kerteminde!I185</f>
        <v>-25000</v>
      </c>
      <c r="R184" s="52">
        <f>'Særlige tilskud'!I185</f>
        <v>0</v>
      </c>
    </row>
    <row r="185" spans="1:18" x14ac:dyDescent="0.25">
      <c r="A185" s="42" t="s">
        <v>316</v>
      </c>
      <c r="B185" s="42" t="s">
        <v>317</v>
      </c>
      <c r="C185" s="45">
        <v>-27715.03</v>
      </c>
      <c r="D185" s="45">
        <v>-117000</v>
      </c>
      <c r="E185" s="45">
        <v>76.31</v>
      </c>
      <c r="F185" s="45">
        <v>23.69</v>
      </c>
      <c r="G185" s="45">
        <v>-89284.97</v>
      </c>
      <c r="H185" s="48">
        <f t="shared" si="7"/>
        <v>-107000</v>
      </c>
      <c r="K185" s="52">
        <f>'Fælles adm.'!I186</f>
        <v>-10000</v>
      </c>
      <c r="L185" s="52">
        <f>Odense!I186</f>
        <v>-40000</v>
      </c>
      <c r="M185" s="52">
        <f>Laks!I186</f>
        <v>0</v>
      </c>
      <c r="N185" s="52">
        <f>Assens!I186</f>
        <v>-15000</v>
      </c>
      <c r="O185" s="52">
        <f>Nyborg!I186</f>
        <v>-15000</v>
      </c>
      <c r="P185" s="52">
        <f>Nordfyn!I186</f>
        <v>-15000</v>
      </c>
      <c r="Q185" s="52">
        <f>Kerteminde!I186</f>
        <v>-12000</v>
      </c>
      <c r="R185" s="52">
        <f>'Særlige tilskud'!I186</f>
        <v>0</v>
      </c>
    </row>
    <row r="186" spans="1:18" x14ac:dyDescent="0.25">
      <c r="A186" s="42" t="s">
        <v>318</v>
      </c>
      <c r="B186" s="42" t="s">
        <v>319</v>
      </c>
      <c r="C186" s="45">
        <v>-123297.54</v>
      </c>
      <c r="D186" s="45">
        <v>-1190688</v>
      </c>
      <c r="E186" s="45">
        <v>89.64</v>
      </c>
      <c r="F186" s="45">
        <v>10.36</v>
      </c>
      <c r="G186" s="45">
        <v>-1067390.46</v>
      </c>
      <c r="H186" s="48">
        <f t="shared" si="7"/>
        <v>-880000</v>
      </c>
      <c r="K186" s="52">
        <f>'Fælles adm.'!I187</f>
        <v>-100000</v>
      </c>
      <c r="L186" s="52">
        <f>Odense!I187</f>
        <v>-250000</v>
      </c>
      <c r="M186" s="52">
        <f>Laks!I187</f>
        <v>-10000</v>
      </c>
      <c r="N186" s="52">
        <f>Assens!I187</f>
        <v>-50000</v>
      </c>
      <c r="O186" s="52">
        <f>Nyborg!I187</f>
        <v>-250000</v>
      </c>
      <c r="P186" s="52">
        <f>Nordfyn!I187</f>
        <v>-120000</v>
      </c>
      <c r="Q186" s="52">
        <f>Kerteminde!I187</f>
        <v>-100000</v>
      </c>
      <c r="R186" s="52">
        <f>'Særlige tilskud'!I187</f>
        <v>0</v>
      </c>
    </row>
    <row r="187" spans="1:18" x14ac:dyDescent="0.25">
      <c r="A187" s="42" t="s">
        <v>320</v>
      </c>
      <c r="B187" s="42" t="s">
        <v>321</v>
      </c>
      <c r="C187" s="45">
        <v>-32538.06</v>
      </c>
      <c r="D187" s="45">
        <v>-271999.99</v>
      </c>
      <c r="E187" s="45">
        <v>88.04</v>
      </c>
      <c r="F187" s="45">
        <v>11.96</v>
      </c>
      <c r="G187" s="45">
        <v>-239461.93</v>
      </c>
      <c r="H187" s="48">
        <f t="shared" si="7"/>
        <v>-226538.66999999998</v>
      </c>
      <c r="K187" s="52">
        <f>'Fælles adm.'!I188</f>
        <v>0</v>
      </c>
      <c r="L187" s="52">
        <f>Odense!I188</f>
        <v>-80500</v>
      </c>
      <c r="M187" s="52">
        <f>Laks!I188</f>
        <v>-172</v>
      </c>
      <c r="N187" s="52">
        <f>Assens!I188</f>
        <v>-40000</v>
      </c>
      <c r="O187" s="52">
        <f>Nyborg!I188</f>
        <v>-32000</v>
      </c>
      <c r="P187" s="52">
        <f>Nordfyn!I188</f>
        <v>-41066.67</v>
      </c>
      <c r="Q187" s="52">
        <f>Kerteminde!I188</f>
        <v>-32800</v>
      </c>
      <c r="R187" s="52">
        <f>'Særlige tilskud'!I188</f>
        <v>0</v>
      </c>
    </row>
    <row r="188" spans="1:18" x14ac:dyDescent="0.25">
      <c r="A188" s="42" t="s">
        <v>322</v>
      </c>
      <c r="B188" s="42" t="s">
        <v>323</v>
      </c>
      <c r="C188" s="45">
        <v>-1183182.6100000001</v>
      </c>
      <c r="D188" s="45">
        <v>-4683700</v>
      </c>
      <c r="E188" s="45">
        <v>74.739999999999995</v>
      </c>
      <c r="F188" s="45">
        <v>25.26</v>
      </c>
      <c r="G188" s="45">
        <v>-3500517.39</v>
      </c>
      <c r="H188" s="48">
        <f t="shared" si="7"/>
        <v>-4125000</v>
      </c>
      <c r="K188" s="52">
        <f>'Fælles adm.'!I189</f>
        <v>0</v>
      </c>
      <c r="L188" s="52">
        <f>Odense!I189</f>
        <v>-1500000</v>
      </c>
      <c r="M188" s="52">
        <f>Laks!I189</f>
        <v>-600000</v>
      </c>
      <c r="N188" s="52">
        <f>Assens!I189</f>
        <v>-500000</v>
      </c>
      <c r="O188" s="52">
        <f>Nyborg!I189</f>
        <v>-500000</v>
      </c>
      <c r="P188" s="52">
        <f>Nordfyn!I189</f>
        <v>-425000</v>
      </c>
      <c r="Q188" s="52">
        <f>Kerteminde!I189</f>
        <v>-600000</v>
      </c>
      <c r="R188" s="52">
        <f>'Særlige tilskud'!I189</f>
        <v>0</v>
      </c>
    </row>
    <row r="189" spans="1:18" x14ac:dyDescent="0.25">
      <c r="A189" s="42" t="s">
        <v>324</v>
      </c>
      <c r="B189" s="42" t="s">
        <v>325</v>
      </c>
      <c r="C189" s="45">
        <v>-7842</v>
      </c>
      <c r="G189" s="45">
        <v>7842</v>
      </c>
      <c r="H189" s="48">
        <f t="shared" si="7"/>
        <v>-6960</v>
      </c>
      <c r="K189" s="52">
        <f>'Fælles adm.'!I190</f>
        <v>0</v>
      </c>
      <c r="L189" s="52">
        <f>Odense!I190</f>
        <v>-6960</v>
      </c>
      <c r="M189" s="52">
        <f>Laks!I190</f>
        <v>0</v>
      </c>
      <c r="N189" s="52">
        <f>Assens!I190</f>
        <v>0</v>
      </c>
      <c r="O189" s="52">
        <f>Nyborg!I190</f>
        <v>0</v>
      </c>
      <c r="P189" s="52">
        <f>Nordfyn!I190</f>
        <v>0</v>
      </c>
      <c r="Q189" s="52">
        <f>Kerteminde!I190</f>
        <v>0</v>
      </c>
      <c r="R189" s="52">
        <f>'Særlige tilskud'!I190</f>
        <v>0</v>
      </c>
    </row>
    <row r="190" spans="1:18" x14ac:dyDescent="0.25">
      <c r="A190" s="42" t="s">
        <v>326</v>
      </c>
      <c r="B190" s="42" t="s">
        <v>327</v>
      </c>
      <c r="C190" s="45">
        <v>-98589.34</v>
      </c>
      <c r="D190" s="45">
        <v>-140000</v>
      </c>
      <c r="E190" s="45">
        <v>29.58</v>
      </c>
      <c r="F190" s="45">
        <v>70.42</v>
      </c>
      <c r="G190" s="45">
        <v>-41410.660000000003</v>
      </c>
      <c r="H190" s="48">
        <f t="shared" si="7"/>
        <v>-140000</v>
      </c>
      <c r="K190" s="52">
        <f>'Fælles adm.'!I191</f>
        <v>0</v>
      </c>
      <c r="L190" s="52">
        <f>Odense!I191</f>
        <v>0</v>
      </c>
      <c r="M190" s="52">
        <f>Laks!I191</f>
        <v>0</v>
      </c>
      <c r="N190" s="52">
        <f>Assens!I191</f>
        <v>-140000</v>
      </c>
      <c r="O190" s="52">
        <f>Nyborg!I191</f>
        <v>0</v>
      </c>
      <c r="P190" s="52">
        <f>Nordfyn!I191</f>
        <v>0</v>
      </c>
      <c r="Q190" s="52">
        <f>Kerteminde!I191</f>
        <v>0</v>
      </c>
      <c r="R190" s="52">
        <f>'Særlige tilskud'!I191</f>
        <v>0</v>
      </c>
    </row>
    <row r="191" spans="1:18" x14ac:dyDescent="0.25">
      <c r="A191" s="42" t="s">
        <v>328</v>
      </c>
      <c r="B191" s="42" t="s">
        <v>329</v>
      </c>
      <c r="D191" s="45">
        <v>-674000</v>
      </c>
      <c r="E191" s="45">
        <v>100</v>
      </c>
      <c r="G191" s="45">
        <v>-674000</v>
      </c>
      <c r="H191" s="48">
        <f t="shared" si="7"/>
        <v>0</v>
      </c>
      <c r="K191" s="52">
        <f>'Fælles adm.'!I192</f>
        <v>0</v>
      </c>
      <c r="L191" s="52">
        <f>Odense!I192</f>
        <v>0</v>
      </c>
      <c r="M191" s="52">
        <f>Laks!I192</f>
        <v>0</v>
      </c>
      <c r="N191" s="52">
        <f>Assens!I192</f>
        <v>0</v>
      </c>
      <c r="O191" s="52">
        <f>Nyborg!I192</f>
        <v>0</v>
      </c>
      <c r="P191" s="52">
        <f>Nordfyn!I192</f>
        <v>0</v>
      </c>
      <c r="Q191" s="52">
        <f>Kerteminde!I192</f>
        <v>0</v>
      </c>
      <c r="R191" s="52">
        <f>'Særlige tilskud'!I192</f>
        <v>0</v>
      </c>
    </row>
    <row r="192" spans="1:18" x14ac:dyDescent="0.25">
      <c r="A192" s="42" t="s">
        <v>330</v>
      </c>
      <c r="B192" s="42" t="s">
        <v>331</v>
      </c>
      <c r="C192" s="45">
        <v>-149461.17000000001</v>
      </c>
      <c r="D192" s="45">
        <v>-570218</v>
      </c>
      <c r="E192" s="45">
        <v>73.790000000000006</v>
      </c>
      <c r="F192" s="45">
        <v>26.21</v>
      </c>
      <c r="G192" s="45">
        <v>-420756.83</v>
      </c>
      <c r="H192" s="48">
        <f t="shared" si="7"/>
        <v>-640000</v>
      </c>
      <c r="K192" s="52">
        <f>'Fælles adm.'!I193</f>
        <v>0</v>
      </c>
      <c r="L192" s="52">
        <f>Odense!I193</f>
        <v>-200000</v>
      </c>
      <c r="M192" s="52">
        <f>Laks!I193</f>
        <v>-100000</v>
      </c>
      <c r="N192" s="52">
        <f>Assens!I193</f>
        <v>-100000</v>
      </c>
      <c r="O192" s="52">
        <f>Nyborg!I193</f>
        <v>-100000</v>
      </c>
      <c r="P192" s="52">
        <f>Nordfyn!I193</f>
        <v>-100000</v>
      </c>
      <c r="Q192" s="52">
        <f>Kerteminde!I193</f>
        <v>-40000</v>
      </c>
      <c r="R192" s="52">
        <f>'Særlige tilskud'!I193</f>
        <v>0</v>
      </c>
    </row>
    <row r="193" spans="1:18" x14ac:dyDescent="0.25">
      <c r="A193" s="42" t="s">
        <v>332</v>
      </c>
      <c r="B193" s="42" t="s">
        <v>333</v>
      </c>
      <c r="H193" s="48">
        <f t="shared" si="7"/>
        <v>0</v>
      </c>
      <c r="K193" s="52">
        <f>'Fælles adm.'!I194</f>
        <v>0</v>
      </c>
      <c r="L193" s="52">
        <f>Odense!I194</f>
        <v>0</v>
      </c>
      <c r="M193" s="52">
        <f>Laks!I194</f>
        <v>0</v>
      </c>
      <c r="N193" s="52">
        <f>Assens!I194</f>
        <v>0</v>
      </c>
      <c r="O193" s="52">
        <f>Nyborg!I194</f>
        <v>0</v>
      </c>
      <c r="P193" s="52">
        <f>Nordfyn!I194</f>
        <v>0</v>
      </c>
      <c r="Q193" s="52">
        <f>Kerteminde!I194</f>
        <v>0</v>
      </c>
      <c r="R193" s="52">
        <f>'Særlige tilskud'!I194</f>
        <v>0</v>
      </c>
    </row>
    <row r="194" spans="1:18" x14ac:dyDescent="0.25">
      <c r="A194" s="42" t="s">
        <v>334</v>
      </c>
      <c r="B194" s="42" t="s">
        <v>335</v>
      </c>
      <c r="C194" s="45">
        <v>-1.62</v>
      </c>
      <c r="D194" s="45">
        <v>22.49</v>
      </c>
      <c r="E194" s="45">
        <v>107.2</v>
      </c>
      <c r="F194" s="45">
        <v>-7.2</v>
      </c>
      <c r="G194" s="45">
        <v>24.11</v>
      </c>
      <c r="H194" s="48">
        <f t="shared" si="7"/>
        <v>-100</v>
      </c>
      <c r="K194" s="52">
        <f>'Fælles adm.'!I195</f>
        <v>-100</v>
      </c>
      <c r="L194" s="52">
        <f>Odense!I195</f>
        <v>0</v>
      </c>
      <c r="M194" s="52">
        <f>Laks!I195</f>
        <v>0</v>
      </c>
      <c r="N194" s="52">
        <f>Assens!I195</f>
        <v>0</v>
      </c>
      <c r="O194" s="52">
        <f>Nyborg!I195</f>
        <v>0</v>
      </c>
      <c r="P194" s="52">
        <f>Nordfyn!I195</f>
        <v>0</v>
      </c>
      <c r="Q194" s="52">
        <f>Kerteminde!I195</f>
        <v>0</v>
      </c>
      <c r="R194" s="52">
        <f>'Særlige tilskud'!I195</f>
        <v>0</v>
      </c>
    </row>
    <row r="195" spans="1:18" x14ac:dyDescent="0.25">
      <c r="A195" s="42" t="s">
        <v>336</v>
      </c>
      <c r="B195" s="42" t="s">
        <v>337</v>
      </c>
      <c r="H195" s="48">
        <f t="shared" si="7"/>
        <v>0</v>
      </c>
      <c r="K195" s="52">
        <f>'Fælles adm.'!I196</f>
        <v>0</v>
      </c>
      <c r="L195" s="52">
        <f>Odense!I196</f>
        <v>0</v>
      </c>
      <c r="M195" s="52">
        <f>Laks!I196</f>
        <v>0</v>
      </c>
      <c r="N195" s="52">
        <f>Assens!I196</f>
        <v>0</v>
      </c>
      <c r="O195" s="52">
        <f>Nyborg!I196</f>
        <v>0</v>
      </c>
      <c r="P195" s="52">
        <f>Nordfyn!I196</f>
        <v>0</v>
      </c>
      <c r="Q195" s="52">
        <f>Kerteminde!I196</f>
        <v>0</v>
      </c>
      <c r="R195" s="52">
        <f>'Særlige tilskud'!I196</f>
        <v>0</v>
      </c>
    </row>
    <row r="196" spans="1:18" x14ac:dyDescent="0.25">
      <c r="A196" s="42" t="s">
        <v>338</v>
      </c>
      <c r="B196" s="42" t="s">
        <v>339</v>
      </c>
      <c r="H196" s="48">
        <f t="shared" si="7"/>
        <v>0</v>
      </c>
      <c r="K196" s="52">
        <f>'Fælles adm.'!I197</f>
        <v>0</v>
      </c>
      <c r="L196" s="52">
        <f>Odense!I197</f>
        <v>0</v>
      </c>
      <c r="M196" s="52">
        <f>Laks!I197</f>
        <v>0</v>
      </c>
      <c r="N196" s="52">
        <f>Assens!I197</f>
        <v>0</v>
      </c>
      <c r="O196" s="52">
        <f>Nyborg!I197</f>
        <v>0</v>
      </c>
      <c r="P196" s="52">
        <f>Nordfyn!I197</f>
        <v>0</v>
      </c>
      <c r="Q196" s="52">
        <f>Kerteminde!I197</f>
        <v>0</v>
      </c>
      <c r="R196" s="52">
        <f>'Særlige tilskud'!I197</f>
        <v>0</v>
      </c>
    </row>
    <row r="197" spans="1:18" x14ac:dyDescent="0.25">
      <c r="A197" s="43" t="s">
        <v>340</v>
      </c>
      <c r="B197" s="43" t="s">
        <v>341</v>
      </c>
      <c r="C197" s="46">
        <v>-9145002.5</v>
      </c>
      <c r="D197" s="46">
        <v>-30277905.449999999</v>
      </c>
      <c r="E197" s="46">
        <v>69.8</v>
      </c>
      <c r="F197" s="46">
        <v>30.2</v>
      </c>
      <c r="G197" s="46">
        <v>-21132902.949999999</v>
      </c>
      <c r="H197" s="5">
        <f t="shared" si="7"/>
        <v>-21541744.25</v>
      </c>
      <c r="K197" s="8">
        <f>'Fælles adm.'!I198</f>
        <v>1109186.9699999997</v>
      </c>
      <c r="L197" s="8">
        <f>Odense!I198</f>
        <v>-7035144.8911999995</v>
      </c>
      <c r="M197" s="8">
        <f>Laks!I198</f>
        <v>-1404039.5499999998</v>
      </c>
      <c r="N197" s="8">
        <f>Assens!I198</f>
        <v>-2593951.4176000003</v>
      </c>
      <c r="O197" s="8">
        <f>Nyborg!I198</f>
        <v>-2526284.7960000001</v>
      </c>
      <c r="P197" s="8">
        <f>Nordfyn!I198</f>
        <v>-2740483.6359999999</v>
      </c>
      <c r="Q197" s="8">
        <f>Kerteminde!I198</f>
        <v>-2351026.9292000001</v>
      </c>
      <c r="R197" s="8">
        <f>'Særlige tilskud'!I198</f>
        <v>-4000000</v>
      </c>
    </row>
    <row r="198" spans="1:18" x14ac:dyDescent="0.25">
      <c r="A198" s="42" t="s">
        <v>12</v>
      </c>
      <c r="B198" s="42" t="s">
        <v>12</v>
      </c>
      <c r="H198" s="48"/>
      <c r="K198" s="52"/>
      <c r="L198" s="52"/>
      <c r="M198" s="52"/>
      <c r="N198" s="52"/>
      <c r="O198" s="52"/>
      <c r="P198" s="52"/>
      <c r="Q198" s="52"/>
      <c r="R198" s="52"/>
    </row>
    <row r="199" spans="1:18" x14ac:dyDescent="0.25">
      <c r="A199" s="43" t="s">
        <v>342</v>
      </c>
      <c r="B199" s="43" t="s">
        <v>343</v>
      </c>
      <c r="C199" s="46"/>
      <c r="D199" s="46"/>
      <c r="E199" s="46"/>
      <c r="F199" s="46"/>
      <c r="G199" s="46"/>
      <c r="H199" s="5"/>
      <c r="K199" s="52"/>
      <c r="L199" s="52"/>
      <c r="M199" s="52"/>
      <c r="N199" s="52"/>
      <c r="O199" s="52"/>
      <c r="P199" s="52"/>
      <c r="Q199" s="52"/>
      <c r="R199" s="52"/>
    </row>
    <row r="200" spans="1:18" x14ac:dyDescent="0.25">
      <c r="A200" s="42" t="s">
        <v>344</v>
      </c>
      <c r="B200" s="42" t="s">
        <v>345</v>
      </c>
      <c r="H200" s="48">
        <f t="shared" ref="H200:H208" si="8">SUM(K200:R200)</f>
        <v>0</v>
      </c>
      <c r="K200" s="52">
        <f>'Fælles adm.'!I201</f>
        <v>0</v>
      </c>
      <c r="L200" s="52">
        <f>Odense!I201</f>
        <v>0</v>
      </c>
      <c r="M200" s="52">
        <f>Laks!I201</f>
        <v>0</v>
      </c>
      <c r="N200" s="52">
        <f>Assens!I201</f>
        <v>0</v>
      </c>
      <c r="O200" s="52">
        <f>Nyborg!I201</f>
        <v>0</v>
      </c>
      <c r="P200" s="52">
        <f>Nordfyn!I201</f>
        <v>0</v>
      </c>
      <c r="Q200" s="52">
        <f>Kerteminde!I201</f>
        <v>0</v>
      </c>
      <c r="R200" s="52">
        <f>'Særlige tilskud'!I201</f>
        <v>0</v>
      </c>
    </row>
    <row r="201" spans="1:18" x14ac:dyDescent="0.25">
      <c r="A201" s="42" t="s">
        <v>346</v>
      </c>
      <c r="B201" s="42" t="s">
        <v>347</v>
      </c>
      <c r="H201" s="48">
        <f t="shared" si="8"/>
        <v>0</v>
      </c>
      <c r="K201" s="52">
        <f>'Fælles adm.'!I202</f>
        <v>0</v>
      </c>
      <c r="L201" s="52">
        <f>Odense!I202</f>
        <v>0</v>
      </c>
      <c r="M201" s="52">
        <f>Laks!I202</f>
        <v>0</v>
      </c>
      <c r="N201" s="52">
        <f>Assens!I202</f>
        <v>0</v>
      </c>
      <c r="O201" s="52">
        <f>Nyborg!I202</f>
        <v>0</v>
      </c>
      <c r="P201" s="52">
        <f>Nordfyn!I202</f>
        <v>0</v>
      </c>
      <c r="Q201" s="52">
        <f>Kerteminde!I202</f>
        <v>0</v>
      </c>
      <c r="R201" s="52">
        <f>'Særlige tilskud'!I202</f>
        <v>0</v>
      </c>
    </row>
    <row r="202" spans="1:18" x14ac:dyDescent="0.25">
      <c r="A202" s="42" t="s">
        <v>348</v>
      </c>
      <c r="B202" s="42" t="s">
        <v>349</v>
      </c>
      <c r="D202" s="45">
        <v>42000</v>
      </c>
      <c r="E202" s="45">
        <v>100</v>
      </c>
      <c r="G202" s="45">
        <v>42000</v>
      </c>
      <c r="H202" s="48">
        <f t="shared" si="8"/>
        <v>0</v>
      </c>
      <c r="K202" s="52">
        <f>'Fælles adm.'!I203</f>
        <v>0</v>
      </c>
      <c r="L202" s="52">
        <f>Odense!I203</f>
        <v>0</v>
      </c>
      <c r="M202" s="52">
        <f>Laks!I203</f>
        <v>0</v>
      </c>
      <c r="N202" s="52">
        <f>Assens!I203</f>
        <v>0</v>
      </c>
      <c r="O202" s="52">
        <f>Nyborg!I203</f>
        <v>0</v>
      </c>
      <c r="P202" s="52">
        <f>Nordfyn!I203</f>
        <v>0</v>
      </c>
      <c r="Q202" s="52">
        <f>Kerteminde!I203</f>
        <v>0</v>
      </c>
      <c r="R202" s="52">
        <f>'Særlige tilskud'!I203</f>
        <v>0</v>
      </c>
    </row>
    <row r="203" spans="1:18" x14ac:dyDescent="0.25">
      <c r="A203" s="42" t="s">
        <v>350</v>
      </c>
      <c r="B203" s="42" t="s">
        <v>351</v>
      </c>
      <c r="H203" s="48">
        <f t="shared" si="8"/>
        <v>0</v>
      </c>
      <c r="K203" s="52">
        <f>'Fælles adm.'!I204</f>
        <v>0</v>
      </c>
      <c r="L203" s="52">
        <f>Odense!I204</f>
        <v>0</v>
      </c>
      <c r="M203" s="52">
        <f>Laks!I204</f>
        <v>0</v>
      </c>
      <c r="N203" s="52">
        <f>Assens!I204</f>
        <v>0</v>
      </c>
      <c r="O203" s="52">
        <f>Nyborg!I204</f>
        <v>0</v>
      </c>
      <c r="P203" s="52">
        <f>Nordfyn!I204</f>
        <v>0</v>
      </c>
      <c r="Q203" s="52">
        <f>Kerteminde!I204</f>
        <v>0</v>
      </c>
      <c r="R203" s="52">
        <f>'Særlige tilskud'!I204</f>
        <v>0</v>
      </c>
    </row>
    <row r="204" spans="1:18" x14ac:dyDescent="0.25">
      <c r="A204" s="42" t="s">
        <v>352</v>
      </c>
      <c r="B204" s="42" t="s">
        <v>353</v>
      </c>
      <c r="H204" s="48">
        <f t="shared" si="8"/>
        <v>0</v>
      </c>
      <c r="K204" s="52">
        <f>'Fælles adm.'!I205</f>
        <v>0</v>
      </c>
      <c r="L204" s="52">
        <f>Odense!I205</f>
        <v>0</v>
      </c>
      <c r="M204" s="52">
        <f>Laks!I205</f>
        <v>0</v>
      </c>
      <c r="N204" s="52">
        <f>Assens!I205</f>
        <v>0</v>
      </c>
      <c r="O204" s="52">
        <f>Nyborg!I205</f>
        <v>0</v>
      </c>
      <c r="P204" s="52">
        <f>Nordfyn!I205</f>
        <v>0</v>
      </c>
      <c r="Q204" s="52">
        <f>Kerteminde!I205</f>
        <v>0</v>
      </c>
      <c r="R204" s="52">
        <f>'Særlige tilskud'!I205</f>
        <v>0</v>
      </c>
    </row>
    <row r="205" spans="1:18" x14ac:dyDescent="0.25">
      <c r="A205" s="42" t="s">
        <v>354</v>
      </c>
      <c r="B205" s="42" t="s">
        <v>355</v>
      </c>
      <c r="C205" s="45">
        <v>-1246.72</v>
      </c>
      <c r="G205" s="45">
        <v>1246.72</v>
      </c>
      <c r="H205" s="48">
        <f t="shared" si="8"/>
        <v>0</v>
      </c>
      <c r="K205" s="52">
        <f>'Fælles adm.'!I206</f>
        <v>0</v>
      </c>
      <c r="L205" s="52">
        <f>Odense!I206</f>
        <v>0</v>
      </c>
      <c r="M205" s="52">
        <f>Laks!I206</f>
        <v>0</v>
      </c>
      <c r="N205" s="52">
        <f>Assens!I206</f>
        <v>0</v>
      </c>
      <c r="O205" s="52">
        <f>Nyborg!I206</f>
        <v>0</v>
      </c>
      <c r="P205" s="52">
        <f>Nordfyn!I206</f>
        <v>0</v>
      </c>
      <c r="Q205" s="52">
        <f>Kerteminde!I206</f>
        <v>0</v>
      </c>
      <c r="R205" s="52">
        <f>'Særlige tilskud'!I206</f>
        <v>0</v>
      </c>
    </row>
    <row r="206" spans="1:18" x14ac:dyDescent="0.25">
      <c r="A206" s="42" t="s">
        <v>356</v>
      </c>
      <c r="B206" s="42" t="s">
        <v>357</v>
      </c>
      <c r="H206" s="48">
        <f t="shared" si="8"/>
        <v>0</v>
      </c>
      <c r="K206" s="52">
        <f>'Fælles adm.'!I207</f>
        <v>0</v>
      </c>
      <c r="L206" s="52">
        <f>Odense!I207</f>
        <v>0</v>
      </c>
      <c r="M206" s="52">
        <f>Laks!I207</f>
        <v>0</v>
      </c>
      <c r="N206" s="52">
        <f>Assens!I207</f>
        <v>0</v>
      </c>
      <c r="O206" s="52">
        <f>Nyborg!I207</f>
        <v>0</v>
      </c>
      <c r="P206" s="52">
        <f>Nordfyn!I207</f>
        <v>0</v>
      </c>
      <c r="Q206" s="52">
        <f>Kerteminde!I207</f>
        <v>0</v>
      </c>
      <c r="R206" s="52">
        <f>'Særlige tilskud'!I207</f>
        <v>0</v>
      </c>
    </row>
    <row r="207" spans="1:18" x14ac:dyDescent="0.25">
      <c r="A207" s="42" t="s">
        <v>358</v>
      </c>
      <c r="B207" s="42" t="s">
        <v>359</v>
      </c>
      <c r="H207" s="48">
        <f t="shared" si="8"/>
        <v>0</v>
      </c>
      <c r="K207" s="52">
        <f>'Fælles adm.'!I208</f>
        <v>0</v>
      </c>
      <c r="L207" s="52">
        <f>Odense!I208</f>
        <v>0</v>
      </c>
      <c r="M207" s="52">
        <f>Laks!I208</f>
        <v>0</v>
      </c>
      <c r="N207" s="52">
        <f>Assens!I208</f>
        <v>0</v>
      </c>
      <c r="O207" s="52">
        <f>Nyborg!I208</f>
        <v>0</v>
      </c>
      <c r="P207" s="52">
        <f>Nordfyn!I208</f>
        <v>0</v>
      </c>
      <c r="Q207" s="52">
        <f>Kerteminde!I208</f>
        <v>0</v>
      </c>
      <c r="R207" s="52">
        <f>'Særlige tilskud'!I208</f>
        <v>0</v>
      </c>
    </row>
    <row r="208" spans="1:18" x14ac:dyDescent="0.25">
      <c r="A208" s="43" t="s">
        <v>360</v>
      </c>
      <c r="B208" s="43" t="s">
        <v>361</v>
      </c>
      <c r="C208" s="46">
        <v>-1246.72</v>
      </c>
      <c r="D208" s="46">
        <v>42000</v>
      </c>
      <c r="E208" s="46">
        <v>102.97</v>
      </c>
      <c r="F208" s="46">
        <v>-2.97</v>
      </c>
      <c r="G208" s="46">
        <v>43246.720000000001</v>
      </c>
      <c r="H208" s="5">
        <f t="shared" si="8"/>
        <v>0</v>
      </c>
      <c r="K208" s="8">
        <f>'Fælles adm.'!I209</f>
        <v>0</v>
      </c>
      <c r="L208" s="8">
        <f>Odense!I209</f>
        <v>0</v>
      </c>
      <c r="M208" s="8">
        <f>Laks!I209</f>
        <v>0</v>
      </c>
      <c r="N208" s="8">
        <f>Assens!I209</f>
        <v>0</v>
      </c>
      <c r="O208" s="8">
        <f>Nyborg!I209</f>
        <v>0</v>
      </c>
      <c r="P208" s="8">
        <f>Nordfyn!I209</f>
        <v>0</v>
      </c>
      <c r="Q208" s="8">
        <f>Kerteminde!I209</f>
        <v>0</v>
      </c>
      <c r="R208" s="8">
        <f>'Særlige tilskud'!I209</f>
        <v>0</v>
      </c>
    </row>
    <row r="209" spans="1:18" x14ac:dyDescent="0.25">
      <c r="A209" s="42" t="s">
        <v>12</v>
      </c>
      <c r="B209" s="42" t="s">
        <v>12</v>
      </c>
      <c r="H209" s="48"/>
      <c r="K209" s="52"/>
      <c r="L209" s="52"/>
      <c r="M209" s="52"/>
      <c r="N209" s="52"/>
      <c r="O209" s="52"/>
      <c r="P209" s="52"/>
      <c r="Q209" s="52"/>
      <c r="R209" s="52"/>
    </row>
    <row r="210" spans="1:18" x14ac:dyDescent="0.25">
      <c r="A210" s="43" t="s">
        <v>362</v>
      </c>
      <c r="B210" s="43" t="s">
        <v>40</v>
      </c>
      <c r="C210" s="46"/>
      <c r="D210" s="46"/>
      <c r="E210" s="46"/>
      <c r="F210" s="46"/>
      <c r="G210" s="46"/>
      <c r="H210" s="5"/>
      <c r="K210" s="52"/>
      <c r="L210" s="52"/>
      <c r="M210" s="52"/>
      <c r="N210" s="52"/>
      <c r="O210" s="52"/>
      <c r="P210" s="52"/>
      <c r="Q210" s="52"/>
      <c r="R210" s="52"/>
    </row>
    <row r="211" spans="1:18" x14ac:dyDescent="0.25">
      <c r="A211" s="42" t="s">
        <v>363</v>
      </c>
      <c r="B211" s="42" t="s">
        <v>364</v>
      </c>
      <c r="D211" s="45">
        <v>-245.74</v>
      </c>
      <c r="E211" s="45">
        <v>100</v>
      </c>
      <c r="G211" s="45">
        <v>-245.74</v>
      </c>
      <c r="H211" s="48">
        <f t="shared" ref="H211:H218" si="9">SUM(K211:R211)</f>
        <v>0</v>
      </c>
      <c r="K211" s="52">
        <f>'Fælles adm.'!I212</f>
        <v>0</v>
      </c>
      <c r="L211" s="52">
        <f>Odense!I212</f>
        <v>0</v>
      </c>
      <c r="M211" s="52">
        <f>Laks!I212</f>
        <v>0</v>
      </c>
      <c r="N211" s="52">
        <f>Assens!I212</f>
        <v>0</v>
      </c>
      <c r="O211" s="52">
        <f>Nyborg!I212</f>
        <v>0</v>
      </c>
      <c r="P211" s="52">
        <f>Nordfyn!I212</f>
        <v>0</v>
      </c>
      <c r="Q211" s="52">
        <f>Kerteminde!I212</f>
        <v>0</v>
      </c>
      <c r="R211" s="52">
        <f>'Særlige tilskud'!I212</f>
        <v>0</v>
      </c>
    </row>
    <row r="212" spans="1:18" x14ac:dyDescent="0.25">
      <c r="A212" s="42" t="s">
        <v>365</v>
      </c>
      <c r="B212" s="42" t="s">
        <v>366</v>
      </c>
      <c r="C212" s="45">
        <v>-120582.87</v>
      </c>
      <c r="D212" s="45">
        <v>-456010</v>
      </c>
      <c r="E212" s="45">
        <v>73.56</v>
      </c>
      <c r="F212" s="45">
        <v>26.44</v>
      </c>
      <c r="G212" s="45">
        <v>-335427.13</v>
      </c>
      <c r="H212" s="48">
        <f t="shared" si="9"/>
        <v>-283562</v>
      </c>
      <c r="K212" s="52">
        <f>'Fælles adm.'!I213</f>
        <v>0</v>
      </c>
      <c r="L212" s="52">
        <f>Odense!I213</f>
        <v>0</v>
      </c>
      <c r="M212" s="52">
        <f>Laks!I213</f>
        <v>0</v>
      </c>
      <c r="N212" s="52">
        <f>Assens!I213</f>
        <v>0</v>
      </c>
      <c r="O212" s="52">
        <f>Nyborg!I213</f>
        <v>0</v>
      </c>
      <c r="P212" s="52">
        <f>Nordfyn!I213</f>
        <v>-33562</v>
      </c>
      <c r="Q212" s="52">
        <f>Kerteminde!I213</f>
        <v>-250000</v>
      </c>
      <c r="R212" s="52">
        <f>'Særlige tilskud'!I213</f>
        <v>0</v>
      </c>
    </row>
    <row r="213" spans="1:18" x14ac:dyDescent="0.25">
      <c r="A213" s="42" t="s">
        <v>367</v>
      </c>
      <c r="B213" s="42" t="s">
        <v>368</v>
      </c>
      <c r="C213" s="45">
        <v>-3697.24</v>
      </c>
      <c r="G213" s="45">
        <v>3697.24</v>
      </c>
      <c r="H213" s="48">
        <f t="shared" si="9"/>
        <v>0</v>
      </c>
      <c r="K213" s="52">
        <f>'Fælles adm.'!I214</f>
        <v>0</v>
      </c>
      <c r="L213" s="52">
        <f>Odense!I214</f>
        <v>0</v>
      </c>
      <c r="M213" s="52">
        <f>Laks!I214</f>
        <v>0</v>
      </c>
      <c r="N213" s="52">
        <f>Assens!I214</f>
        <v>0</v>
      </c>
      <c r="O213" s="52">
        <f>Nyborg!I214</f>
        <v>0</v>
      </c>
      <c r="P213" s="52">
        <f>Nordfyn!I214</f>
        <v>0</v>
      </c>
      <c r="Q213" s="52">
        <f>Kerteminde!I214</f>
        <v>0</v>
      </c>
      <c r="R213" s="52">
        <f>'Særlige tilskud'!I214</f>
        <v>0</v>
      </c>
    </row>
    <row r="214" spans="1:18" x14ac:dyDescent="0.25">
      <c r="A214" s="42" t="s">
        <v>369</v>
      </c>
      <c r="B214" s="42" t="s">
        <v>370</v>
      </c>
      <c r="C214" s="45">
        <v>-7016.51</v>
      </c>
      <c r="D214" s="45">
        <v>-7227.84</v>
      </c>
      <c r="E214" s="45">
        <v>2.92</v>
      </c>
      <c r="F214" s="45">
        <v>97.08</v>
      </c>
      <c r="G214" s="45">
        <v>-211.33</v>
      </c>
      <c r="H214" s="48">
        <f t="shared" si="9"/>
        <v>0</v>
      </c>
      <c r="K214" s="52">
        <f>'Fælles adm.'!I215</f>
        <v>0</v>
      </c>
      <c r="L214" s="52">
        <f>Odense!I215</f>
        <v>0</v>
      </c>
      <c r="M214" s="52">
        <f>Laks!I215</f>
        <v>0</v>
      </c>
      <c r="N214" s="52">
        <f>Assens!I215</f>
        <v>0</v>
      </c>
      <c r="O214" s="52">
        <f>Nyborg!I215</f>
        <v>0</v>
      </c>
      <c r="P214" s="52">
        <f>Nordfyn!I215</f>
        <v>0</v>
      </c>
      <c r="Q214" s="52">
        <f>Kerteminde!I215</f>
        <v>0</v>
      </c>
      <c r="R214" s="52">
        <f>'Særlige tilskud'!I215</f>
        <v>0</v>
      </c>
    </row>
    <row r="215" spans="1:18" x14ac:dyDescent="0.25">
      <c r="A215" s="42" t="s">
        <v>371</v>
      </c>
      <c r="B215" s="42" t="s">
        <v>372</v>
      </c>
      <c r="H215" s="48">
        <f t="shared" si="9"/>
        <v>0</v>
      </c>
      <c r="K215" s="52">
        <f>'Fælles adm.'!I216</f>
        <v>0</v>
      </c>
      <c r="L215" s="52">
        <f>Odense!I216</f>
        <v>0</v>
      </c>
      <c r="M215" s="52">
        <f>Laks!I216</f>
        <v>0</v>
      </c>
      <c r="N215" s="52">
        <f>Assens!I216</f>
        <v>0</v>
      </c>
      <c r="O215" s="52">
        <f>Nyborg!I216</f>
        <v>0</v>
      </c>
      <c r="P215" s="52">
        <f>Nordfyn!I216</f>
        <v>0</v>
      </c>
      <c r="Q215" s="52">
        <f>Kerteminde!I216</f>
        <v>0</v>
      </c>
      <c r="R215" s="52">
        <f>'Særlige tilskud'!I216</f>
        <v>0</v>
      </c>
    </row>
    <row r="216" spans="1:18" x14ac:dyDescent="0.25">
      <c r="A216" s="42" t="s">
        <v>373</v>
      </c>
      <c r="B216" s="42" t="s">
        <v>374</v>
      </c>
      <c r="H216" s="48">
        <f t="shared" si="9"/>
        <v>0</v>
      </c>
      <c r="K216" s="52">
        <f>'Fælles adm.'!I217</f>
        <v>0</v>
      </c>
      <c r="L216" s="52">
        <f>Odense!I217</f>
        <v>0</v>
      </c>
      <c r="M216" s="52">
        <f>Laks!I217</f>
        <v>0</v>
      </c>
      <c r="N216" s="52">
        <f>Assens!I217</f>
        <v>0</v>
      </c>
      <c r="O216" s="52">
        <f>Nyborg!I217</f>
        <v>0</v>
      </c>
      <c r="P216" s="52">
        <f>Nordfyn!I217</f>
        <v>0</v>
      </c>
      <c r="Q216" s="52">
        <f>Kerteminde!I217</f>
        <v>0</v>
      </c>
      <c r="R216" s="52">
        <f>'Særlige tilskud'!I217</f>
        <v>0</v>
      </c>
    </row>
    <row r="217" spans="1:18" x14ac:dyDescent="0.25">
      <c r="A217" s="42" t="s">
        <v>375</v>
      </c>
      <c r="B217" s="42" t="s">
        <v>376</v>
      </c>
      <c r="C217" s="45">
        <v>-307.70999999999998</v>
      </c>
      <c r="G217" s="45">
        <v>307.70999999999998</v>
      </c>
      <c r="H217" s="48">
        <f t="shared" si="9"/>
        <v>0</v>
      </c>
      <c r="K217" s="52">
        <f>'Fælles adm.'!I218</f>
        <v>0</v>
      </c>
      <c r="L217" s="52">
        <f>Odense!I218</f>
        <v>0</v>
      </c>
      <c r="M217" s="52">
        <f>Laks!I218</f>
        <v>0</v>
      </c>
      <c r="N217" s="52">
        <f>Assens!I218</f>
        <v>0</v>
      </c>
      <c r="O217" s="52">
        <f>Nyborg!I218</f>
        <v>0</v>
      </c>
      <c r="P217" s="52">
        <f>Nordfyn!I218</f>
        <v>0</v>
      </c>
      <c r="Q217" s="52">
        <f>Kerteminde!I218</f>
        <v>0</v>
      </c>
      <c r="R217" s="52">
        <f>'Særlige tilskud'!I218</f>
        <v>0</v>
      </c>
    </row>
    <row r="218" spans="1:18" x14ac:dyDescent="0.25">
      <c r="A218" s="43" t="s">
        <v>377</v>
      </c>
      <c r="B218" s="43" t="s">
        <v>378</v>
      </c>
      <c r="C218" s="46">
        <v>-131604.32999999999</v>
      </c>
      <c r="D218" s="46">
        <v>-463483.58</v>
      </c>
      <c r="E218" s="46">
        <v>71.61</v>
      </c>
      <c r="F218" s="46">
        <v>28.39</v>
      </c>
      <c r="G218" s="46">
        <v>-331879.25</v>
      </c>
      <c r="H218" s="5">
        <f t="shared" si="9"/>
        <v>-283562</v>
      </c>
      <c r="K218" s="8">
        <f>'Fælles adm.'!I219</f>
        <v>0</v>
      </c>
      <c r="L218" s="8">
        <f>Odense!I219</f>
        <v>0</v>
      </c>
      <c r="M218" s="8">
        <f>Laks!I219</f>
        <v>0</v>
      </c>
      <c r="N218" s="8">
        <f>Assens!I219</f>
        <v>0</v>
      </c>
      <c r="O218" s="8">
        <f>Nyborg!I219</f>
        <v>0</v>
      </c>
      <c r="P218" s="8">
        <f>Nordfyn!I219</f>
        <v>-33562</v>
      </c>
      <c r="Q218" s="8">
        <f>Kerteminde!I219</f>
        <v>-250000</v>
      </c>
      <c r="R218" s="8">
        <f>'Særlige tilskud'!I219</f>
        <v>0</v>
      </c>
    </row>
    <row r="219" spans="1:18" x14ac:dyDescent="0.25">
      <c r="A219" s="42" t="s">
        <v>12</v>
      </c>
      <c r="B219" s="42" t="s">
        <v>12</v>
      </c>
      <c r="H219" s="48"/>
      <c r="K219" s="52"/>
      <c r="L219" s="52"/>
      <c r="M219" s="52"/>
      <c r="N219" s="52"/>
      <c r="O219" s="52"/>
      <c r="P219" s="52"/>
      <c r="Q219" s="52"/>
      <c r="R219" s="52"/>
    </row>
    <row r="220" spans="1:18" x14ac:dyDescent="0.25">
      <c r="A220" s="43" t="s">
        <v>379</v>
      </c>
      <c r="B220" s="43" t="s">
        <v>380</v>
      </c>
      <c r="C220" s="46"/>
      <c r="D220" s="46"/>
      <c r="E220" s="46"/>
      <c r="F220" s="46"/>
      <c r="G220" s="46"/>
      <c r="H220" s="5"/>
      <c r="K220" s="52"/>
      <c r="L220" s="52"/>
      <c r="M220" s="52"/>
      <c r="N220" s="52"/>
      <c r="O220" s="52"/>
      <c r="P220" s="52"/>
      <c r="Q220" s="52"/>
      <c r="R220" s="52"/>
    </row>
    <row r="221" spans="1:18" x14ac:dyDescent="0.25">
      <c r="A221" s="42" t="s">
        <v>381</v>
      </c>
      <c r="B221" s="42" t="s">
        <v>380</v>
      </c>
      <c r="H221" s="48">
        <f>SUM(K221:R221)</f>
        <v>0</v>
      </c>
      <c r="K221" s="52">
        <f>'Fælles adm.'!I222</f>
        <v>0</v>
      </c>
      <c r="L221" s="52">
        <f>Odense!I222</f>
        <v>0</v>
      </c>
      <c r="M221" s="52">
        <f>Laks!I222</f>
        <v>0</v>
      </c>
      <c r="N221" s="52">
        <f>Assens!I222</f>
        <v>0</v>
      </c>
      <c r="O221" s="52">
        <f>Nyborg!I222</f>
        <v>0</v>
      </c>
      <c r="P221" s="52">
        <f>Nordfyn!I222</f>
        <v>0</v>
      </c>
      <c r="Q221" s="52">
        <f>Kerteminde!I222</f>
        <v>0</v>
      </c>
      <c r="R221" s="52">
        <f>'Særlige tilskud'!I222</f>
        <v>0</v>
      </c>
    </row>
    <row r="222" spans="1:18" x14ac:dyDescent="0.25">
      <c r="A222" s="43" t="s">
        <v>382</v>
      </c>
      <c r="B222" s="43" t="s">
        <v>383</v>
      </c>
      <c r="C222" s="46"/>
      <c r="D222" s="46"/>
      <c r="E222" s="46"/>
      <c r="F222" s="46"/>
      <c r="G222" s="46"/>
      <c r="H222" s="5">
        <f>SUM(K222:R222)</f>
        <v>0</v>
      </c>
      <c r="K222" s="8">
        <f>'Fælles adm.'!I223</f>
        <v>0</v>
      </c>
      <c r="L222" s="8">
        <f>Odense!I223</f>
        <v>0</v>
      </c>
      <c r="M222" s="8">
        <f>Laks!I223</f>
        <v>0</v>
      </c>
      <c r="N222" s="8">
        <f>Assens!I223</f>
        <v>0</v>
      </c>
      <c r="O222" s="8">
        <f>Nyborg!I223</f>
        <v>0</v>
      </c>
      <c r="P222" s="8">
        <f>Nordfyn!I223</f>
        <v>0</v>
      </c>
      <c r="Q222" s="8">
        <f>Kerteminde!I223</f>
        <v>0</v>
      </c>
      <c r="R222" s="8">
        <f>'Særlige tilskud'!I223</f>
        <v>0</v>
      </c>
    </row>
    <row r="223" spans="1:18" x14ac:dyDescent="0.25">
      <c r="A223" s="42" t="s">
        <v>12</v>
      </c>
      <c r="B223" s="42" t="s">
        <v>12</v>
      </c>
      <c r="H223" s="48"/>
      <c r="K223" s="52"/>
      <c r="L223" s="52"/>
      <c r="M223" s="52"/>
      <c r="N223" s="52"/>
      <c r="O223" s="52"/>
      <c r="P223" s="52"/>
      <c r="Q223" s="52"/>
      <c r="R223" s="52"/>
    </row>
    <row r="224" spans="1:18" x14ac:dyDescent="0.25">
      <c r="A224" s="43" t="s">
        <v>384</v>
      </c>
      <c r="B224" s="43" t="s">
        <v>385</v>
      </c>
      <c r="C224" s="46"/>
      <c r="D224" s="46"/>
      <c r="E224" s="46"/>
      <c r="F224" s="46"/>
      <c r="G224" s="46"/>
      <c r="H224" s="5"/>
      <c r="K224" s="52"/>
      <c r="L224" s="52"/>
      <c r="M224" s="52"/>
      <c r="N224" s="52"/>
      <c r="O224" s="52"/>
      <c r="P224" s="52"/>
      <c r="Q224" s="52"/>
      <c r="R224" s="52"/>
    </row>
    <row r="225" spans="1:18" x14ac:dyDescent="0.25">
      <c r="A225" s="42" t="s">
        <v>386</v>
      </c>
      <c r="B225" s="42" t="s">
        <v>385</v>
      </c>
      <c r="H225" s="48">
        <f>SUM(K225:R225)</f>
        <v>0</v>
      </c>
      <c r="K225" s="52">
        <f>'Fælles adm.'!I226</f>
        <v>0</v>
      </c>
      <c r="L225" s="52">
        <f>Odense!I226</f>
        <v>0</v>
      </c>
      <c r="M225" s="52">
        <f>Laks!I226</f>
        <v>0</v>
      </c>
      <c r="N225" s="52">
        <f>Assens!I226</f>
        <v>0</v>
      </c>
      <c r="O225" s="52">
        <f>Nyborg!I226</f>
        <v>0</v>
      </c>
      <c r="P225" s="52">
        <f>Nordfyn!I226</f>
        <v>0</v>
      </c>
      <c r="Q225" s="52">
        <f>Kerteminde!I226</f>
        <v>0</v>
      </c>
      <c r="R225" s="52">
        <f>'Særlige tilskud'!I226</f>
        <v>0</v>
      </c>
    </row>
    <row r="226" spans="1:18" x14ac:dyDescent="0.25">
      <c r="A226" s="43" t="s">
        <v>387</v>
      </c>
      <c r="B226" s="43" t="s">
        <v>388</v>
      </c>
      <c r="C226" s="46"/>
      <c r="D226" s="46"/>
      <c r="E226" s="46"/>
      <c r="F226" s="46"/>
      <c r="G226" s="46"/>
      <c r="H226" s="5">
        <f>SUM(K226:R226)</f>
        <v>0</v>
      </c>
      <c r="K226" s="8">
        <f>'Fælles adm.'!I227</f>
        <v>0</v>
      </c>
      <c r="L226" s="8">
        <f>Odense!I227</f>
        <v>0</v>
      </c>
      <c r="M226" s="8">
        <f>Laks!I227</f>
        <v>0</v>
      </c>
      <c r="N226" s="8">
        <f>Assens!I227</f>
        <v>0</v>
      </c>
      <c r="O226" s="8">
        <f>Nyborg!I227</f>
        <v>0</v>
      </c>
      <c r="P226" s="8">
        <f>Nordfyn!I227</f>
        <v>0</v>
      </c>
      <c r="Q226" s="8">
        <f>Kerteminde!I227</f>
        <v>0</v>
      </c>
      <c r="R226" s="8">
        <f>'Særlige tilskud'!I227</f>
        <v>0</v>
      </c>
    </row>
    <row r="227" spans="1:18" x14ac:dyDescent="0.25">
      <c r="A227" s="42" t="s">
        <v>12</v>
      </c>
      <c r="B227" s="42" t="s">
        <v>12</v>
      </c>
      <c r="H227" s="48"/>
      <c r="K227" s="52"/>
      <c r="L227" s="52"/>
      <c r="M227" s="52"/>
      <c r="N227" s="52"/>
      <c r="O227" s="52"/>
      <c r="P227" s="52"/>
      <c r="Q227" s="52"/>
      <c r="R227" s="52"/>
    </row>
    <row r="228" spans="1:18" ht="15.75" thickBot="1" x14ac:dyDescent="0.3">
      <c r="A228" s="44" t="s">
        <v>389</v>
      </c>
      <c r="B228" s="44" t="s">
        <v>390</v>
      </c>
      <c r="C228" s="47">
        <v>8635017.6400000006</v>
      </c>
      <c r="D228" s="47">
        <v>-1120486.18</v>
      </c>
      <c r="E228" s="47">
        <v>870.65</v>
      </c>
      <c r="F228" s="47">
        <v>-770.65</v>
      </c>
      <c r="G228" s="47">
        <v>-9755503.8200000003</v>
      </c>
      <c r="H228" s="6">
        <f>SUM(K228:R228)</f>
        <v>16243551.140000001</v>
      </c>
      <c r="K228" s="9">
        <f>'Fælles adm.'!I229</f>
        <v>-1574306.8100000015</v>
      </c>
      <c r="L228" s="9">
        <f>Odense!I229</f>
        <v>6080798.6937521333</v>
      </c>
      <c r="M228" s="9">
        <f>Laks!I229</f>
        <v>27464.660000000149</v>
      </c>
      <c r="N228" s="9">
        <f>Assens!I229</f>
        <v>2639170.3943312056</v>
      </c>
      <c r="O228" s="9">
        <f>Nyborg!I229</f>
        <v>-281781.86039785948</v>
      </c>
      <c r="P228" s="9">
        <f>Nordfyn!I229</f>
        <v>1914111.2062131194</v>
      </c>
      <c r="Q228" s="9">
        <f>Kerteminde!I229</f>
        <v>1353962.4861014029</v>
      </c>
      <c r="R228" s="9">
        <f>'Særlige tilskud'!I229</f>
        <v>6084132.370000001</v>
      </c>
    </row>
    <row r="229" spans="1:18" ht="15.75" thickTop="1" x14ac:dyDescent="0.25">
      <c r="A229" s="42" t="s">
        <v>12</v>
      </c>
      <c r="B229" s="42" t="s">
        <v>12</v>
      </c>
      <c r="H229" s="48"/>
      <c r="K229" s="52"/>
      <c r="L229" s="52">
        <f>Odense!I230</f>
        <v>0</v>
      </c>
      <c r="M229" s="52"/>
      <c r="N229" s="52"/>
      <c r="O229" s="52"/>
      <c r="P229" s="52"/>
      <c r="Q229" s="52"/>
      <c r="R229" s="52"/>
    </row>
    <row r="230" spans="1:18" x14ac:dyDescent="0.25">
      <c r="A230" s="43" t="s">
        <v>391</v>
      </c>
      <c r="B230" s="43" t="s">
        <v>392</v>
      </c>
      <c r="C230" s="46"/>
      <c r="D230" s="46"/>
      <c r="E230" s="46"/>
      <c r="F230" s="46"/>
      <c r="G230" s="46"/>
      <c r="H230" s="5"/>
      <c r="K230" s="52"/>
      <c r="L230" s="52">
        <f>Odense!I231</f>
        <v>0</v>
      </c>
      <c r="M230" s="52"/>
      <c r="N230" s="52"/>
      <c r="O230" s="52"/>
      <c r="P230" s="52"/>
      <c r="Q230" s="52"/>
      <c r="R230" s="52"/>
    </row>
    <row r="231" spans="1:18" x14ac:dyDescent="0.25">
      <c r="A231" s="42" t="s">
        <v>393</v>
      </c>
      <c r="B231" s="42" t="s">
        <v>394</v>
      </c>
      <c r="H231" s="48">
        <f t="shared" ref="H231:H236" si="10">SUM(K231:R231)</f>
        <v>0</v>
      </c>
      <c r="K231" s="52">
        <f>'Fælles adm.'!I232</f>
        <v>0</v>
      </c>
      <c r="L231" s="52">
        <f>Odense!I232</f>
        <v>0</v>
      </c>
      <c r="M231" s="52">
        <f>Laks!I232</f>
        <v>0</v>
      </c>
      <c r="N231" s="52">
        <f>Assens!I232</f>
        <v>0</v>
      </c>
      <c r="O231" s="52">
        <f>Nyborg!I232</f>
        <v>0</v>
      </c>
      <c r="P231" s="52">
        <f>Nordfyn!I232</f>
        <v>0</v>
      </c>
      <c r="Q231" s="52">
        <f>Kerteminde!I232</f>
        <v>0</v>
      </c>
      <c r="R231" s="52">
        <f>'Særlige tilskud'!I232</f>
        <v>0</v>
      </c>
    </row>
    <row r="232" spans="1:18" x14ac:dyDescent="0.25">
      <c r="A232" s="42" t="s">
        <v>395</v>
      </c>
      <c r="B232" s="42" t="s">
        <v>396</v>
      </c>
      <c r="H232" s="48">
        <f t="shared" si="10"/>
        <v>0</v>
      </c>
      <c r="K232" s="52">
        <f>'Fælles adm.'!I233</f>
        <v>0</v>
      </c>
      <c r="L232" s="52">
        <f>Odense!I233</f>
        <v>0</v>
      </c>
      <c r="M232" s="52">
        <f>Laks!I233</f>
        <v>0</v>
      </c>
      <c r="N232" s="52">
        <f>Assens!I233</f>
        <v>0</v>
      </c>
      <c r="O232" s="52">
        <f>Nyborg!I233</f>
        <v>0</v>
      </c>
      <c r="P232" s="52">
        <f>Nordfyn!I233</f>
        <v>0</v>
      </c>
      <c r="Q232" s="52">
        <f>Kerteminde!I233</f>
        <v>0</v>
      </c>
      <c r="R232" s="52">
        <f>'Særlige tilskud'!I233</f>
        <v>0</v>
      </c>
    </row>
    <row r="233" spans="1:18" x14ac:dyDescent="0.25">
      <c r="A233" s="42" t="s">
        <v>397</v>
      </c>
      <c r="B233" s="42" t="s">
        <v>398</v>
      </c>
      <c r="H233" s="48">
        <f t="shared" si="10"/>
        <v>0</v>
      </c>
      <c r="K233" s="52">
        <f>'Fælles adm.'!I234</f>
        <v>0</v>
      </c>
      <c r="L233" s="52">
        <f>Odense!I234</f>
        <v>0</v>
      </c>
      <c r="M233" s="52">
        <f>Laks!I234</f>
        <v>0</v>
      </c>
      <c r="N233" s="52">
        <f>Assens!I234</f>
        <v>0</v>
      </c>
      <c r="O233" s="52">
        <f>Nyborg!I234</f>
        <v>0</v>
      </c>
      <c r="P233" s="52">
        <f>Nordfyn!I234</f>
        <v>0</v>
      </c>
      <c r="Q233" s="52">
        <f>Kerteminde!I234</f>
        <v>0</v>
      </c>
      <c r="R233" s="52">
        <f>'Særlige tilskud'!I234</f>
        <v>0</v>
      </c>
    </row>
    <row r="234" spans="1:18" x14ac:dyDescent="0.25">
      <c r="A234" s="43" t="s">
        <v>399</v>
      </c>
      <c r="B234" s="43" t="s">
        <v>400</v>
      </c>
      <c r="C234" s="46"/>
      <c r="D234" s="46"/>
      <c r="E234" s="46"/>
      <c r="F234" s="46"/>
      <c r="G234" s="46"/>
      <c r="H234" s="5">
        <f t="shared" si="10"/>
        <v>0</v>
      </c>
      <c r="K234" s="8">
        <f>'Fælles adm.'!I235</f>
        <v>0</v>
      </c>
      <c r="L234" s="8">
        <f>Odense!I235</f>
        <v>0</v>
      </c>
      <c r="M234" s="8">
        <f>Laks!I235</f>
        <v>0</v>
      </c>
      <c r="N234" s="8">
        <f>Assens!I235</f>
        <v>0</v>
      </c>
      <c r="O234" s="8">
        <f>Nyborg!I235</f>
        <v>0</v>
      </c>
      <c r="P234" s="8">
        <f>Nordfyn!I235</f>
        <v>0</v>
      </c>
      <c r="Q234" s="8">
        <f>Kerteminde!I235</f>
        <v>0</v>
      </c>
      <c r="R234" s="8">
        <f>'Særlige tilskud'!I235</f>
        <v>0</v>
      </c>
    </row>
    <row r="235" spans="1:18" x14ac:dyDescent="0.25">
      <c r="A235" s="42" t="s">
        <v>12</v>
      </c>
      <c r="B235" s="42" t="s">
        <v>12</v>
      </c>
      <c r="H235" s="48">
        <f t="shared" si="10"/>
        <v>0</v>
      </c>
      <c r="K235" s="52"/>
      <c r="L235" s="52"/>
      <c r="M235" s="52"/>
      <c r="N235" s="52"/>
      <c r="O235" s="52"/>
      <c r="P235" s="52"/>
      <c r="Q235" s="52"/>
      <c r="R235" s="52"/>
    </row>
    <row r="236" spans="1:18" ht="15.75" thickBot="1" x14ac:dyDescent="0.3">
      <c r="A236" s="44" t="s">
        <v>12</v>
      </c>
      <c r="B236" s="44" t="s">
        <v>46</v>
      </c>
      <c r="C236" s="47">
        <v>8635017.6400000006</v>
      </c>
      <c r="D236" s="47">
        <v>-1120486.18</v>
      </c>
      <c r="E236" s="47">
        <v>870.65</v>
      </c>
      <c r="F236" s="47">
        <v>-770.65</v>
      </c>
      <c r="G236" s="47">
        <v>-9755503.8200000003</v>
      </c>
      <c r="H236" s="6">
        <f t="shared" si="10"/>
        <v>17817857.950000003</v>
      </c>
      <c r="K236" s="9">
        <f>'Fælles adm.'!I237</f>
        <v>0</v>
      </c>
      <c r="L236" s="9">
        <f>Odense!I237</f>
        <v>6080798.6937521333</v>
      </c>
      <c r="M236" s="9">
        <f>Laks!I237</f>
        <v>27464.660000000149</v>
      </c>
      <c r="N236" s="9">
        <f>Assens!I237</f>
        <v>2639170.3943312056</v>
      </c>
      <c r="O236" s="9">
        <f>Nyborg!I237</f>
        <v>-281781.86039785948</v>
      </c>
      <c r="P236" s="9">
        <f>Nordfyn!I237</f>
        <v>1914111.2062131194</v>
      </c>
      <c r="Q236" s="9">
        <f>Kerteminde!I237</f>
        <v>1353962.4861014029</v>
      </c>
      <c r="R236" s="9">
        <f>'Særlige tilskud'!I237</f>
        <v>6084132.370000001</v>
      </c>
    </row>
    <row r="237" spans="1:18" ht="15.75" thickTop="1" x14ac:dyDescent="0.25">
      <c r="A237" s="42" t="s">
        <v>12</v>
      </c>
      <c r="B237" s="42" t="s">
        <v>12</v>
      </c>
      <c r="H237" s="48"/>
      <c r="K237" s="52"/>
      <c r="L237" s="52"/>
      <c r="M237" s="52"/>
      <c r="N237" s="52"/>
      <c r="O237" s="52"/>
      <c r="P237" s="52"/>
      <c r="Q237" s="52"/>
      <c r="R237" s="52"/>
    </row>
    <row r="238" spans="1:18" x14ac:dyDescent="0.25">
      <c r="A238" s="42" t="s">
        <v>401</v>
      </c>
      <c r="B238" s="42" t="s">
        <v>402</v>
      </c>
      <c r="H238" s="48">
        <f>SUM(K238:R238)</f>
        <v>0</v>
      </c>
      <c r="K238" s="52">
        <f>'Fælles adm.'!I239</f>
        <v>0</v>
      </c>
      <c r="L238" s="52">
        <f>Odense!I239</f>
        <v>0</v>
      </c>
      <c r="M238" s="52">
        <f>Laks!I239</f>
        <v>0</v>
      </c>
      <c r="N238" s="52">
        <f>Assens!I239</f>
        <v>0</v>
      </c>
      <c r="O238" s="52">
        <f>Nyborg!I239</f>
        <v>0</v>
      </c>
      <c r="P238" s="52">
        <f>Nordfyn!I239</f>
        <v>0</v>
      </c>
      <c r="Q238" s="52">
        <f>Kerteminde!I239</f>
        <v>0</v>
      </c>
      <c r="R238" s="52">
        <f>'Særlige tilskud'!I239</f>
        <v>0</v>
      </c>
    </row>
    <row r="239" spans="1:18" x14ac:dyDescent="0.25">
      <c r="A239" s="42" t="s">
        <v>403</v>
      </c>
      <c r="B239" s="42" t="s">
        <v>404</v>
      </c>
      <c r="C239" s="45">
        <v>85929.24</v>
      </c>
      <c r="G239" s="45">
        <v>-85929.24</v>
      </c>
      <c r="H239" s="48">
        <f>SUM(K239:R239)</f>
        <v>0</v>
      </c>
      <c r="K239" s="52">
        <f>'Fælles adm.'!I240</f>
        <v>0</v>
      </c>
      <c r="L239" s="52">
        <f>Odense!I240</f>
        <v>0</v>
      </c>
      <c r="M239" s="52">
        <f>Laks!I240</f>
        <v>0</v>
      </c>
      <c r="N239" s="52">
        <f>Assens!I240</f>
        <v>0</v>
      </c>
      <c r="O239" s="52">
        <f>Nyborg!I240</f>
        <v>0</v>
      </c>
      <c r="P239" s="52">
        <f>Nordfyn!I240</f>
        <v>0</v>
      </c>
      <c r="Q239" s="52">
        <f>Kerteminde!I240</f>
        <v>0</v>
      </c>
      <c r="R239" s="52">
        <f>'Særlige tilskud'!I240</f>
        <v>0</v>
      </c>
    </row>
    <row r="240" spans="1:18" x14ac:dyDescent="0.25">
      <c r="A240" s="42" t="s">
        <v>405</v>
      </c>
      <c r="B240" s="42" t="s">
        <v>406</v>
      </c>
      <c r="C240" s="45">
        <v>-1619347.55</v>
      </c>
      <c r="D240" s="45">
        <v>-3644077.35</v>
      </c>
      <c r="E240" s="45">
        <v>55.56</v>
      </c>
      <c r="F240" s="45">
        <v>44.44</v>
      </c>
      <c r="G240" s="45">
        <v>-2024729.8</v>
      </c>
      <c r="H240" s="48">
        <f>SUM(K240:R240)</f>
        <v>-3107784.6599999997</v>
      </c>
      <c r="K240" s="52">
        <f>'Fælles adm.'!I241</f>
        <v>0</v>
      </c>
      <c r="L240" s="52">
        <f>Odense!I241</f>
        <v>-1219411.71</v>
      </c>
      <c r="M240" s="52">
        <f>Laks!I241</f>
        <v>-19547.330000000002</v>
      </c>
      <c r="N240" s="52">
        <f>Assens!I241</f>
        <v>-341818.28</v>
      </c>
      <c r="O240" s="52">
        <f>Nyborg!I241</f>
        <v>-142681.26999999999</v>
      </c>
      <c r="P240" s="52">
        <f>Nordfyn!I241</f>
        <v>-460093.5</v>
      </c>
      <c r="Q240" s="52">
        <f>Kerteminde!I241</f>
        <v>-924232.57</v>
      </c>
      <c r="R240" s="52">
        <f>'Særlige tilskud'!I241</f>
        <v>0</v>
      </c>
    </row>
    <row r="241" spans="1:18" x14ac:dyDescent="0.25">
      <c r="A241" s="42" t="s">
        <v>407</v>
      </c>
      <c r="B241" s="42" t="s">
        <v>408</v>
      </c>
      <c r="H241" s="48">
        <f>SUM(K241:R241)</f>
        <v>0</v>
      </c>
      <c r="K241" s="52">
        <f>'Fælles adm.'!I242</f>
        <v>0</v>
      </c>
      <c r="L241" s="52">
        <f>Odense!I242</f>
        <v>0</v>
      </c>
      <c r="M241" s="52">
        <f>Laks!I242</f>
        <v>0</v>
      </c>
      <c r="N241" s="52">
        <f>Assens!I242</f>
        <v>0</v>
      </c>
      <c r="O241" s="52">
        <f>Nyborg!I242</f>
        <v>0</v>
      </c>
      <c r="P241" s="52">
        <f>Nordfyn!I242</f>
        <v>0</v>
      </c>
      <c r="Q241" s="52">
        <f>Kerteminde!I242</f>
        <v>0</v>
      </c>
      <c r="R241" s="52">
        <f>'Særlige tilskud'!I242</f>
        <v>0</v>
      </c>
    </row>
    <row r="242" spans="1:18" x14ac:dyDescent="0.25">
      <c r="A242" s="43" t="s">
        <v>409</v>
      </c>
      <c r="B242" s="43" t="s">
        <v>410</v>
      </c>
      <c r="C242" s="46">
        <v>-1533418.31</v>
      </c>
      <c r="D242" s="46">
        <v>-3644077.35</v>
      </c>
      <c r="E242" s="46">
        <v>57.92</v>
      </c>
      <c r="F242" s="46">
        <v>42.08</v>
      </c>
      <c r="G242" s="46">
        <v>-2110659.04</v>
      </c>
      <c r="H242" s="5">
        <f>SUM(K242:R242)</f>
        <v>-3107784.6599999997</v>
      </c>
      <c r="K242" s="8">
        <f>'Fælles adm.'!I243</f>
        <v>0</v>
      </c>
      <c r="L242" s="8">
        <f>Odense!I243</f>
        <v>-1219411.71</v>
      </c>
      <c r="M242" s="8">
        <f>Laks!I243</f>
        <v>-19547.330000000002</v>
      </c>
      <c r="N242" s="8">
        <f>Assens!I243</f>
        <v>-341818.28</v>
      </c>
      <c r="O242" s="8">
        <f>Nyborg!I243</f>
        <v>-142681.26999999999</v>
      </c>
      <c r="P242" s="8">
        <f>Nordfyn!I243</f>
        <v>-460093.5</v>
      </c>
      <c r="Q242" s="8">
        <f>Kerteminde!I243</f>
        <v>-924232.57</v>
      </c>
      <c r="R242" s="8">
        <f>'Særlige tilskud'!I243</f>
        <v>0</v>
      </c>
    </row>
    <row r="243" spans="1:18" x14ac:dyDescent="0.25">
      <c r="A243" s="42" t="s">
        <v>12</v>
      </c>
      <c r="B243" s="42" t="s">
        <v>12</v>
      </c>
      <c r="H243" s="48"/>
      <c r="K243" s="52"/>
      <c r="L243" s="52"/>
      <c r="M243" s="52"/>
      <c r="N243" s="52"/>
      <c r="O243" s="52"/>
      <c r="P243" s="52"/>
      <c r="Q243" s="52"/>
      <c r="R243" s="52"/>
    </row>
    <row r="244" spans="1:18" ht="15.75" thickBot="1" x14ac:dyDescent="0.3">
      <c r="A244" s="44" t="s">
        <v>411</v>
      </c>
      <c r="B244" s="44" t="s">
        <v>49</v>
      </c>
      <c r="C244" s="47">
        <v>7101599.3300000001</v>
      </c>
      <c r="D244" s="47">
        <v>-4764563.53</v>
      </c>
      <c r="E244" s="47">
        <v>249.05</v>
      </c>
      <c r="F244" s="47">
        <v>-149.05000000000001</v>
      </c>
      <c r="G244" s="47">
        <v>-11866162.859999999</v>
      </c>
      <c r="H244" s="6">
        <f>SUM(K244:R244)</f>
        <v>13135766.48</v>
      </c>
      <c r="K244" s="9">
        <f>'Fælles adm.'!I245</f>
        <v>-1574306.8100000015</v>
      </c>
      <c r="L244" s="9">
        <f>Odense!I245</f>
        <v>4861386.9837521333</v>
      </c>
      <c r="M244" s="9">
        <f>Laks!I245</f>
        <v>7917.3300000001473</v>
      </c>
      <c r="N244" s="9">
        <f>Assens!I245</f>
        <v>2297352.1143312054</v>
      </c>
      <c r="O244" s="9">
        <f>Nyborg!I245</f>
        <v>-424463.1303978595</v>
      </c>
      <c r="P244" s="9">
        <f>Nordfyn!I245</f>
        <v>1454017.7062131194</v>
      </c>
      <c r="Q244" s="9">
        <f>Kerteminde!I245</f>
        <v>429729.91610140295</v>
      </c>
      <c r="R244" s="9">
        <f>'Særlige tilskud'!I245</f>
        <v>6084132.370000001</v>
      </c>
    </row>
    <row r="245" spans="1:18" ht="15.75" thickTop="1" x14ac:dyDescent="0.25">
      <c r="H245" s="48"/>
      <c r="K245" s="52"/>
      <c r="L245" s="52"/>
      <c r="M245" s="52"/>
      <c r="N245" s="52"/>
      <c r="O245" s="52"/>
      <c r="P245" s="52"/>
      <c r="Q245" s="52"/>
      <c r="R245" s="52"/>
    </row>
  </sheetData>
  <sheetProtection algorithmName="SHA-512" hashValue="ARhjlUwjqZKRgKc+fdinCohxc42ChFzCSqQuE0CIDTt2Sm5Wv1OcdSyx9BcX1b/HVSm8DTVxuZ658ZbSkIkYeA==" saltValue="YFeXXV+SVRFhFIRfkBg8ug==" spinCount="100000" sheet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7D45E4-AF4E-4F70-807F-3B184A4F3049}">
  <sheetPr>
    <tabColor rgb="FF92D050"/>
  </sheetPr>
  <dimension ref="A1:R245"/>
  <sheetViews>
    <sheetView tabSelected="1" topLeftCell="A120" workbookViewId="0">
      <selection activeCell="J22" sqref="J22"/>
    </sheetView>
  </sheetViews>
  <sheetFormatPr defaultRowHeight="15" x14ac:dyDescent="0.25"/>
  <cols>
    <col min="1" max="1" width="17.7109375" style="40" bestFit="1" customWidth="1"/>
    <col min="2" max="2" width="48.7109375" style="40" bestFit="1" customWidth="1"/>
    <col min="3" max="3" width="14.28515625" style="45" bestFit="1" customWidth="1"/>
    <col min="4" max="4" width="14.28515625" style="45" hidden="1" customWidth="1"/>
    <col min="5" max="5" width="11.7109375" style="45" hidden="1" customWidth="1"/>
    <col min="6" max="6" width="20.85546875" style="45" hidden="1" customWidth="1"/>
    <col min="7" max="7" width="14.28515625" style="45" hidden="1" customWidth="1"/>
    <col min="8" max="9" width="14.28515625" style="40" bestFit="1" customWidth="1"/>
    <col min="10" max="10" width="22.140625" customWidth="1"/>
    <col min="11" max="18" width="14.28515625" style="40" bestFit="1" customWidth="1"/>
  </cols>
  <sheetData>
    <row r="1" spans="1:18" x14ac:dyDescent="0.25">
      <c r="A1" s="41" t="s">
        <v>0</v>
      </c>
      <c r="H1" s="48"/>
      <c r="I1" s="48"/>
      <c r="K1" s="48"/>
      <c r="L1" s="48"/>
      <c r="M1" s="48"/>
      <c r="N1" s="48"/>
      <c r="O1" s="48"/>
      <c r="P1" s="48"/>
      <c r="Q1" s="48"/>
      <c r="R1" s="48"/>
    </row>
    <row r="2" spans="1:18" x14ac:dyDescent="0.25">
      <c r="A2" s="42" t="s">
        <v>1</v>
      </c>
      <c r="B2" s="42" t="s">
        <v>2</v>
      </c>
      <c r="H2" s="48"/>
      <c r="I2" s="48"/>
      <c r="K2" s="48"/>
      <c r="L2" s="48"/>
      <c r="M2" s="48"/>
      <c r="N2" s="48"/>
      <c r="O2" s="48"/>
      <c r="P2" s="48"/>
      <c r="Q2" s="48"/>
      <c r="R2" s="48"/>
    </row>
    <row r="3" spans="1:18" x14ac:dyDescent="0.25">
      <c r="A3" s="42" t="s">
        <v>3</v>
      </c>
      <c r="B3" s="42" t="s">
        <v>4</v>
      </c>
      <c r="H3" s="48"/>
      <c r="I3" s="48"/>
      <c r="K3" s="48"/>
      <c r="L3" s="48"/>
      <c r="M3" s="48"/>
      <c r="N3" s="48"/>
      <c r="O3" s="48"/>
      <c r="P3" s="48"/>
      <c r="Q3" s="48"/>
      <c r="R3" s="48"/>
    </row>
    <row r="4" spans="1:18" x14ac:dyDescent="0.25">
      <c r="H4" s="48"/>
      <c r="I4" s="48"/>
      <c r="K4" s="48"/>
      <c r="L4" s="48"/>
      <c r="M4" s="48"/>
      <c r="N4" s="48"/>
      <c r="O4" s="48"/>
      <c r="P4" s="48"/>
      <c r="Q4" s="48"/>
      <c r="R4" s="48"/>
    </row>
    <row r="5" spans="1:18" x14ac:dyDescent="0.25">
      <c r="A5" s="42" t="s">
        <v>5</v>
      </c>
      <c r="B5" s="42" t="s">
        <v>6</v>
      </c>
      <c r="H5" s="48"/>
      <c r="I5" s="48"/>
      <c r="K5" s="48"/>
      <c r="L5" s="48"/>
      <c r="M5" s="48"/>
      <c r="N5" s="48"/>
      <c r="O5" s="48"/>
      <c r="P5" s="48"/>
      <c r="Q5" s="48"/>
      <c r="R5" s="48"/>
    </row>
    <row r="6" spans="1:18" x14ac:dyDescent="0.25">
      <c r="K6" s="40" t="s">
        <v>429</v>
      </c>
      <c r="L6" s="40" t="s">
        <v>430</v>
      </c>
      <c r="M6" s="40" t="s">
        <v>431</v>
      </c>
      <c r="N6" s="40" t="s">
        <v>432</v>
      </c>
      <c r="O6" s="40" t="s">
        <v>433</v>
      </c>
      <c r="P6" s="40" t="s">
        <v>434</v>
      </c>
      <c r="Q6" s="40" t="s">
        <v>435</v>
      </c>
      <c r="R6" s="40" t="s">
        <v>487</v>
      </c>
    </row>
    <row r="7" spans="1:18" x14ac:dyDescent="0.25">
      <c r="C7" s="45" t="s">
        <v>7</v>
      </c>
      <c r="D7" s="45" t="s">
        <v>8</v>
      </c>
      <c r="E7" s="45" t="s">
        <v>9</v>
      </c>
      <c r="F7" s="45" t="s">
        <v>10</v>
      </c>
      <c r="G7" s="45" t="s">
        <v>11</v>
      </c>
      <c r="H7" s="48" t="s">
        <v>428</v>
      </c>
      <c r="I7" s="48" t="s">
        <v>472</v>
      </c>
      <c r="K7" s="48"/>
      <c r="L7" s="48"/>
      <c r="M7" s="48"/>
      <c r="N7" s="48"/>
      <c r="O7" s="48"/>
      <c r="P7" s="48"/>
      <c r="Q7" s="48"/>
      <c r="R7" s="48"/>
    </row>
    <row r="8" spans="1:18" x14ac:dyDescent="0.25">
      <c r="A8" s="43" t="s">
        <v>12</v>
      </c>
      <c r="B8" s="43" t="s">
        <v>13</v>
      </c>
      <c r="C8" s="46" t="s">
        <v>478</v>
      </c>
      <c r="D8" s="46"/>
      <c r="E8" s="46"/>
      <c r="F8" s="46"/>
      <c r="G8" s="46"/>
      <c r="H8" s="88"/>
      <c r="I8" s="88">
        <v>2022</v>
      </c>
      <c r="K8" s="88"/>
      <c r="L8" s="88"/>
      <c r="M8" s="88"/>
      <c r="N8" s="88"/>
      <c r="O8" s="88"/>
      <c r="P8" s="88"/>
      <c r="Q8" s="88"/>
      <c r="R8" s="88"/>
    </row>
    <row r="9" spans="1:18" x14ac:dyDescent="0.25">
      <c r="A9" s="42" t="s">
        <v>12</v>
      </c>
      <c r="B9" s="42" t="s">
        <v>12</v>
      </c>
      <c r="H9" s="48"/>
      <c r="I9" s="48"/>
      <c r="K9" s="48"/>
      <c r="L9" s="48"/>
      <c r="M9" s="48"/>
      <c r="N9" s="48"/>
      <c r="O9" s="48"/>
      <c r="P9" s="48"/>
      <c r="Q9" s="48"/>
      <c r="R9" s="48"/>
    </row>
    <row r="10" spans="1:18" x14ac:dyDescent="0.25">
      <c r="A10" s="42" t="s">
        <v>14</v>
      </c>
      <c r="B10" s="42" t="s">
        <v>15</v>
      </c>
      <c r="C10" s="45">
        <v>46576460.770000003</v>
      </c>
      <c r="D10" s="45">
        <v>90947976.510000005</v>
      </c>
      <c r="E10" s="45">
        <v>48.79</v>
      </c>
      <c r="F10" s="45">
        <v>51.21</v>
      </c>
      <c r="G10" s="45">
        <v>44371515.740000002</v>
      </c>
      <c r="H10" s="48">
        <v>79521201.560000002</v>
      </c>
      <c r="I10" s="48">
        <f>SUM(K10:R10)</f>
        <v>70720834</v>
      </c>
      <c r="K10" s="48">
        <f>'Fælles adm.'!J11</f>
        <v>2226850</v>
      </c>
      <c r="L10" s="48">
        <f>Odense!J11</f>
        <v>23663652</v>
      </c>
      <c r="M10" s="48">
        <f>Laks!J11</f>
        <v>0</v>
      </c>
      <c r="N10" s="48">
        <f>Assens!J11</f>
        <v>10277812</v>
      </c>
      <c r="O10" s="48">
        <f>Nyborg!J11</f>
        <v>11087133</v>
      </c>
      <c r="P10" s="48">
        <f>Nordfyn!J11</f>
        <v>11273019</v>
      </c>
      <c r="Q10" s="48">
        <f>Kerteminde!J11</f>
        <v>10192368</v>
      </c>
      <c r="R10" s="48">
        <f>'Særlige tilskud'!J11</f>
        <v>2000000</v>
      </c>
    </row>
    <row r="11" spans="1:18" x14ac:dyDescent="0.25">
      <c r="A11" s="42" t="s">
        <v>16</v>
      </c>
      <c r="B11" s="42" t="s">
        <v>17</v>
      </c>
      <c r="C11" s="45">
        <v>3310489.05</v>
      </c>
      <c r="D11" s="45">
        <v>5639295.6699999999</v>
      </c>
      <c r="E11" s="45">
        <v>41.3</v>
      </c>
      <c r="F11" s="45">
        <v>58.7</v>
      </c>
      <c r="G11" s="45">
        <v>2328806.62</v>
      </c>
      <c r="H11" s="48">
        <v>5844287.0500000007</v>
      </c>
      <c r="I11" s="48">
        <f t="shared" ref="I11:I74" si="0">SUM(K11:R11)</f>
        <v>5462043.4000000004</v>
      </c>
      <c r="J11" s="57"/>
      <c r="K11" s="48">
        <f>'Fælles adm.'!J12</f>
        <v>0</v>
      </c>
      <c r="L11" s="48">
        <f>Odense!J12</f>
        <v>560073.6</v>
      </c>
      <c r="M11" s="48">
        <f>Laks!J12</f>
        <v>3041500</v>
      </c>
      <c r="N11" s="48">
        <f>Assens!J12</f>
        <v>753196.8</v>
      </c>
      <c r="O11" s="48">
        <f>Nyborg!J12</f>
        <v>152000</v>
      </c>
      <c r="P11" s="48">
        <f>Nordfyn!J12</f>
        <v>667612</v>
      </c>
      <c r="Q11" s="48">
        <f>Kerteminde!J12</f>
        <v>287661</v>
      </c>
      <c r="R11" s="48">
        <f>'Særlige tilskud'!J12</f>
        <v>0</v>
      </c>
    </row>
    <row r="12" spans="1:18" x14ac:dyDescent="0.25">
      <c r="A12" s="42" t="s">
        <v>18</v>
      </c>
      <c r="B12" s="42" t="s">
        <v>19</v>
      </c>
      <c r="C12" s="45">
        <v>362884.2</v>
      </c>
      <c r="G12" s="45">
        <v>-362884.2</v>
      </c>
      <c r="H12" s="48">
        <v>698365.85000000009</v>
      </c>
      <c r="I12" s="48">
        <f t="shared" si="0"/>
        <v>693721.35000000009</v>
      </c>
      <c r="J12" s="57"/>
      <c r="K12" s="48">
        <f>'Fælles adm.'!J13</f>
        <v>0</v>
      </c>
      <c r="L12" s="48">
        <f>Odense!J13</f>
        <v>469392</v>
      </c>
      <c r="M12" s="48">
        <f>Laks!J13</f>
        <v>0</v>
      </c>
      <c r="N12" s="48">
        <f>Assens!J13</f>
        <v>0</v>
      </c>
      <c r="O12" s="48">
        <f>Nyborg!J13</f>
        <v>22758.05</v>
      </c>
      <c r="P12" s="48">
        <f>Nordfyn!J13</f>
        <v>51089.5</v>
      </c>
      <c r="Q12" s="48">
        <f>Kerteminde!J13</f>
        <v>150481.79999999999</v>
      </c>
      <c r="R12" s="48">
        <f>'Særlige tilskud'!J13</f>
        <v>0</v>
      </c>
    </row>
    <row r="13" spans="1:18" x14ac:dyDescent="0.25">
      <c r="A13" s="43" t="s">
        <v>20</v>
      </c>
      <c r="B13" s="43" t="s">
        <v>21</v>
      </c>
      <c r="C13" s="46">
        <v>50249834.020000003</v>
      </c>
      <c r="D13" s="46">
        <v>96587272.180000007</v>
      </c>
      <c r="E13" s="46">
        <v>47.97</v>
      </c>
      <c r="F13" s="46">
        <v>52.03</v>
      </c>
      <c r="G13" s="46">
        <v>46337438.159999996</v>
      </c>
      <c r="H13" s="5">
        <v>86063854.460000008</v>
      </c>
      <c r="I13" s="5">
        <f t="shared" si="0"/>
        <v>76876598.75</v>
      </c>
      <c r="K13" s="5">
        <f>'Fælles adm.'!J14</f>
        <v>2226850</v>
      </c>
      <c r="L13" s="5">
        <f>Odense!J14</f>
        <v>24693117.600000001</v>
      </c>
      <c r="M13" s="5">
        <f>Laks!J14</f>
        <v>3041500</v>
      </c>
      <c r="N13" s="5">
        <f>Assens!J14</f>
        <v>11031008.800000001</v>
      </c>
      <c r="O13" s="5">
        <f>Nyborg!J14</f>
        <v>11261891.050000001</v>
      </c>
      <c r="P13" s="5">
        <f>Nordfyn!J14</f>
        <v>11991720.5</v>
      </c>
      <c r="Q13" s="5">
        <f>Kerteminde!J14</f>
        <v>10630510.800000001</v>
      </c>
      <c r="R13" s="5">
        <f>'Særlige tilskud'!J14</f>
        <v>2000000</v>
      </c>
    </row>
    <row r="14" spans="1:18" x14ac:dyDescent="0.25">
      <c r="A14" s="42" t="s">
        <v>12</v>
      </c>
      <c r="B14" s="42" t="s">
        <v>12</v>
      </c>
      <c r="H14" s="48"/>
      <c r="I14" s="48">
        <f t="shared" si="0"/>
        <v>0</v>
      </c>
      <c r="K14" s="48">
        <f>'Fælles adm.'!J15</f>
        <v>0</v>
      </c>
      <c r="L14" s="48">
        <f>Odense!J15</f>
        <v>0</v>
      </c>
      <c r="M14" s="48">
        <f>Laks!J15</f>
        <v>0</v>
      </c>
      <c r="N14" s="48">
        <f>Assens!J15</f>
        <v>0</v>
      </c>
      <c r="O14" s="48">
        <f>Nyborg!J15</f>
        <v>0</v>
      </c>
      <c r="P14" s="48">
        <f>Nordfyn!J15</f>
        <v>0</v>
      </c>
      <c r="Q14" s="48">
        <f>Kerteminde!J15</f>
        <v>0</v>
      </c>
      <c r="R14" s="48">
        <f>'Særlige tilskud'!J15</f>
        <v>0</v>
      </c>
    </row>
    <row r="15" spans="1:18" x14ac:dyDescent="0.25">
      <c r="A15" s="43" t="s">
        <v>12</v>
      </c>
      <c r="B15" s="43" t="s">
        <v>22</v>
      </c>
      <c r="C15" s="46"/>
      <c r="D15" s="46"/>
      <c r="E15" s="46"/>
      <c r="F15" s="46"/>
      <c r="G15" s="46"/>
      <c r="H15" s="5"/>
      <c r="I15" s="5">
        <f t="shared" si="0"/>
        <v>0</v>
      </c>
      <c r="K15" s="5">
        <f>'Fælles adm.'!J16</f>
        <v>0</v>
      </c>
      <c r="L15" s="5">
        <f>Odense!J16</f>
        <v>0</v>
      </c>
      <c r="M15" s="5">
        <f>Laks!J16</f>
        <v>0</v>
      </c>
      <c r="N15" s="5">
        <f>Assens!J16</f>
        <v>0</v>
      </c>
      <c r="O15" s="5">
        <f>Nyborg!J16</f>
        <v>0</v>
      </c>
      <c r="P15" s="5">
        <f>Nordfyn!J16</f>
        <v>0</v>
      </c>
      <c r="Q15" s="5">
        <f>Kerteminde!J16</f>
        <v>0</v>
      </c>
      <c r="R15" s="5">
        <f>'Særlige tilskud'!J16</f>
        <v>0</v>
      </c>
    </row>
    <row r="16" spans="1:18" x14ac:dyDescent="0.25">
      <c r="A16" s="42" t="s">
        <v>23</v>
      </c>
      <c r="B16" s="42" t="s">
        <v>24</v>
      </c>
      <c r="H16" s="48">
        <v>0</v>
      </c>
      <c r="I16" s="48">
        <f t="shared" si="0"/>
        <v>0</v>
      </c>
      <c r="K16" s="48">
        <f>'Fælles adm.'!J17</f>
        <v>0</v>
      </c>
      <c r="L16" s="48">
        <f>Odense!J17</f>
        <v>0</v>
      </c>
      <c r="M16" s="48">
        <f>Laks!J17</f>
        <v>0</v>
      </c>
      <c r="N16" s="48">
        <f>Assens!J17</f>
        <v>0</v>
      </c>
      <c r="O16" s="48">
        <f>Nyborg!J17</f>
        <v>0</v>
      </c>
      <c r="P16" s="48">
        <f>Nordfyn!J17</f>
        <v>0</v>
      </c>
      <c r="Q16" s="48">
        <f>Kerteminde!J17</f>
        <v>0</v>
      </c>
      <c r="R16" s="48">
        <f>'Særlige tilskud'!J17</f>
        <v>0</v>
      </c>
    </row>
    <row r="17" spans="1:18" x14ac:dyDescent="0.25">
      <c r="A17" s="42" t="s">
        <v>25</v>
      </c>
      <c r="B17" s="42" t="s">
        <v>26</v>
      </c>
      <c r="C17" s="45">
        <v>-459230.14</v>
      </c>
      <c r="D17" s="45">
        <v>-1051606</v>
      </c>
      <c r="E17" s="45">
        <v>56.33</v>
      </c>
      <c r="F17" s="45">
        <v>43.67</v>
      </c>
      <c r="G17" s="45">
        <v>-592375.86</v>
      </c>
      <c r="H17" s="48">
        <v>-862265.81</v>
      </c>
      <c r="I17" s="48">
        <f t="shared" si="0"/>
        <v>-850881.97</v>
      </c>
      <c r="J17" s="57"/>
      <c r="K17" s="48">
        <f>'Fælles adm.'!J18</f>
        <v>0</v>
      </c>
      <c r="L17" s="48">
        <f>Odense!J18</f>
        <v>-13544.869999999999</v>
      </c>
      <c r="M17" s="48">
        <f>Laks!J18</f>
        <v>-5496.4</v>
      </c>
      <c r="N17" s="48">
        <f>Assens!J18</f>
        <v>-168399.45</v>
      </c>
      <c r="O17" s="48">
        <f>Nyborg!J18</f>
        <v>-166854.25</v>
      </c>
      <c r="P17" s="48">
        <f>Nordfyn!J18</f>
        <v>-313327</v>
      </c>
      <c r="Q17" s="48">
        <f>Kerteminde!J18</f>
        <v>-183260</v>
      </c>
      <c r="R17" s="48">
        <f>'Særlige tilskud'!J18</f>
        <v>0</v>
      </c>
    </row>
    <row r="18" spans="1:18" x14ac:dyDescent="0.25">
      <c r="A18" s="42" t="s">
        <v>27</v>
      </c>
      <c r="B18" s="42" t="s">
        <v>28</v>
      </c>
      <c r="H18" s="48"/>
      <c r="I18" s="48">
        <f t="shared" si="0"/>
        <v>0</v>
      </c>
      <c r="K18" s="48">
        <f>'Fælles adm.'!J19</f>
        <v>0</v>
      </c>
      <c r="L18" s="48">
        <f>Odense!J19</f>
        <v>0</v>
      </c>
      <c r="M18" s="48">
        <f>Laks!J19</f>
        <v>0</v>
      </c>
      <c r="N18" s="48">
        <f>Assens!J19</f>
        <v>0</v>
      </c>
      <c r="O18" s="48">
        <f>Nyborg!J19</f>
        <v>0</v>
      </c>
      <c r="P18" s="48">
        <f>Nordfyn!J19</f>
        <v>0</v>
      </c>
      <c r="Q18" s="48">
        <f>Kerteminde!J19</f>
        <v>0</v>
      </c>
      <c r="R18" s="48">
        <f>'Særlige tilskud'!J19</f>
        <v>0</v>
      </c>
    </row>
    <row r="19" spans="1:18" x14ac:dyDescent="0.25">
      <c r="A19" s="42" t="s">
        <v>12</v>
      </c>
      <c r="B19" s="42" t="s">
        <v>12</v>
      </c>
      <c r="H19" s="48"/>
      <c r="I19" s="48">
        <f t="shared" si="0"/>
        <v>0</v>
      </c>
      <c r="K19" s="48">
        <f>'Fælles adm.'!J20</f>
        <v>0</v>
      </c>
      <c r="L19" s="48">
        <f>Odense!J20</f>
        <v>0</v>
      </c>
      <c r="M19" s="48">
        <f>Laks!J20</f>
        <v>0</v>
      </c>
      <c r="N19" s="48">
        <f>Assens!J20</f>
        <v>0</v>
      </c>
      <c r="O19" s="48">
        <f>Nyborg!J20</f>
        <v>0</v>
      </c>
      <c r="P19" s="48">
        <f>Nordfyn!J20</f>
        <v>0</v>
      </c>
      <c r="Q19" s="48">
        <f>Kerteminde!J20</f>
        <v>0</v>
      </c>
      <c r="R19" s="48">
        <f>'Særlige tilskud'!J20</f>
        <v>0</v>
      </c>
    </row>
    <row r="20" spans="1:18" x14ac:dyDescent="0.25">
      <c r="A20" s="42" t="s">
        <v>29</v>
      </c>
      <c r="B20" s="42" t="s">
        <v>30</v>
      </c>
      <c r="C20" s="45">
        <v>-33063795.859999999</v>
      </c>
      <c r="D20" s="45">
        <v>-66770111.689999998</v>
      </c>
      <c r="E20" s="45">
        <v>50.48</v>
      </c>
      <c r="F20" s="45">
        <v>49.52</v>
      </c>
      <c r="G20" s="45">
        <v>-33706315.829999998</v>
      </c>
      <c r="H20" s="48">
        <v>-60585770.510000005</v>
      </c>
      <c r="I20" s="48">
        <f t="shared" si="0"/>
        <v>-47337370.579999998</v>
      </c>
      <c r="J20" s="57"/>
      <c r="K20" s="48">
        <f>'Fælles adm.'!J21</f>
        <v>-4952603.4100000011</v>
      </c>
      <c r="L20" s="48">
        <f>Odense!J21</f>
        <v>-14766934.760000002</v>
      </c>
      <c r="M20" s="48">
        <f>Laks!J21</f>
        <v>-1604499.3900000001</v>
      </c>
      <c r="N20" s="48">
        <f>Assens!J21</f>
        <v>-5416680.3099999996</v>
      </c>
      <c r="O20" s="48">
        <f>Nyborg!J21</f>
        <v>-7101964.2399999993</v>
      </c>
      <c r="P20" s="48">
        <f>Nordfyn!J21</f>
        <v>-6398765.1200000001</v>
      </c>
      <c r="Q20" s="48">
        <f>Kerteminde!J21</f>
        <v>-7095923.3499999996</v>
      </c>
      <c r="R20" s="48">
        <f>'Særlige tilskud'!J21</f>
        <v>0</v>
      </c>
    </row>
    <row r="21" spans="1:18" x14ac:dyDescent="0.25">
      <c r="A21" s="43" t="s">
        <v>31</v>
      </c>
      <c r="B21" s="43" t="s">
        <v>32</v>
      </c>
      <c r="C21" s="46">
        <v>-33523026</v>
      </c>
      <c r="D21" s="46">
        <v>-67821717.689999998</v>
      </c>
      <c r="E21" s="46">
        <v>50.57</v>
      </c>
      <c r="F21" s="46">
        <v>49.43</v>
      </c>
      <c r="G21" s="46">
        <v>-34298691.689999998</v>
      </c>
      <c r="H21" s="5">
        <v>-60585770.510000005</v>
      </c>
      <c r="I21" s="5">
        <f t="shared" si="0"/>
        <v>-47650697.579999998</v>
      </c>
      <c r="K21" s="5">
        <f>'Fælles adm.'!J22</f>
        <v>-4952603.4100000011</v>
      </c>
      <c r="L21" s="5">
        <f>Odense!J22</f>
        <v>-14766934.760000002</v>
      </c>
      <c r="M21" s="5">
        <f>Laks!J22</f>
        <v>-1604499.3900000001</v>
      </c>
      <c r="N21" s="5">
        <f>Assens!J22</f>
        <v>-5416680.3099999996</v>
      </c>
      <c r="O21" s="5">
        <f>Nyborg!J22</f>
        <v>-7101964.2399999993</v>
      </c>
      <c r="P21" s="5">
        <f>Nordfyn!J22</f>
        <v>-6712092.1200000001</v>
      </c>
      <c r="Q21" s="5">
        <f>Kerteminde!J22</f>
        <v>-7095923.3499999996</v>
      </c>
      <c r="R21" s="5">
        <f>'Særlige tilskud'!J22</f>
        <v>0</v>
      </c>
    </row>
    <row r="22" spans="1:18" x14ac:dyDescent="0.25">
      <c r="A22" s="42" t="s">
        <v>12</v>
      </c>
      <c r="B22" s="42" t="s">
        <v>12</v>
      </c>
      <c r="H22" s="48"/>
      <c r="I22" s="48">
        <f t="shared" si="0"/>
        <v>0</v>
      </c>
      <c r="K22" s="48">
        <f>'Fælles adm.'!J23</f>
        <v>0</v>
      </c>
      <c r="L22" s="48">
        <f>Odense!J23</f>
        <v>0</v>
      </c>
      <c r="M22" s="48">
        <f>Laks!J23</f>
        <v>0</v>
      </c>
      <c r="N22" s="48">
        <f>Assens!J23</f>
        <v>0</v>
      </c>
      <c r="O22" s="48">
        <f>Nyborg!J23</f>
        <v>0</v>
      </c>
      <c r="P22" s="48">
        <f>Nordfyn!J23</f>
        <v>0</v>
      </c>
      <c r="Q22" s="48">
        <f>Kerteminde!J23</f>
        <v>0</v>
      </c>
      <c r="R22" s="48">
        <f>'Særlige tilskud'!J23</f>
        <v>0</v>
      </c>
    </row>
    <row r="23" spans="1:18" x14ac:dyDescent="0.25">
      <c r="A23" s="42" t="s">
        <v>33</v>
      </c>
      <c r="B23" s="42" t="s">
        <v>34</v>
      </c>
      <c r="C23" s="45">
        <v>1186063.17</v>
      </c>
      <c r="D23" s="45">
        <v>813348.36</v>
      </c>
      <c r="E23" s="45">
        <v>-45.82</v>
      </c>
      <c r="F23" s="45">
        <v>145.82</v>
      </c>
      <c r="G23" s="45">
        <v>-372714.81</v>
      </c>
      <c r="H23" s="48">
        <v>1698661.9</v>
      </c>
      <c r="I23" s="48">
        <f t="shared" si="0"/>
        <v>580143.63</v>
      </c>
      <c r="J23" s="57"/>
      <c r="K23" s="48">
        <f>'Fælles adm.'!J24</f>
        <v>42259.63</v>
      </c>
      <c r="L23" s="48">
        <f>Odense!J24</f>
        <v>165880</v>
      </c>
      <c r="M23" s="48">
        <f>Laks!J24</f>
        <v>0</v>
      </c>
      <c r="N23" s="48">
        <f>Assens!J24</f>
        <v>116100</v>
      </c>
      <c r="O23" s="48">
        <f>Nyborg!J24</f>
        <v>50000</v>
      </c>
      <c r="P23" s="48">
        <f>Nordfyn!J24</f>
        <v>103200</v>
      </c>
      <c r="Q23" s="48">
        <f>Kerteminde!J24</f>
        <v>102704</v>
      </c>
      <c r="R23" s="48">
        <f>'Særlige tilskud'!J24</f>
        <v>0</v>
      </c>
    </row>
    <row r="24" spans="1:18" x14ac:dyDescent="0.25">
      <c r="A24" s="42" t="s">
        <v>35</v>
      </c>
      <c r="B24" s="42" t="s">
        <v>36</v>
      </c>
      <c r="C24" s="45">
        <v>-9145002.5</v>
      </c>
      <c r="D24" s="45">
        <v>-30277905.449999999</v>
      </c>
      <c r="E24" s="45">
        <v>69.8</v>
      </c>
      <c r="F24" s="45">
        <v>30.2</v>
      </c>
      <c r="G24" s="45">
        <v>-21132902.949999999</v>
      </c>
      <c r="H24" s="48">
        <v>-28864549.32</v>
      </c>
      <c r="I24" s="48">
        <f t="shared" si="0"/>
        <v>-24179264.25</v>
      </c>
      <c r="J24" s="57"/>
      <c r="K24" s="48">
        <f>'Fælles adm.'!J25</f>
        <v>2683493.7800000003</v>
      </c>
      <c r="L24" s="48">
        <f>Odense!J25</f>
        <v>-7895976.7960749995</v>
      </c>
      <c r="M24" s="48">
        <f>Laks!J25</f>
        <v>-1404039.5499999998</v>
      </c>
      <c r="N24" s="48">
        <f>Assens!J25</f>
        <v>-3199269.8830749998</v>
      </c>
      <c r="O24" s="48">
        <f>Nyborg!J25</f>
        <v>-3684759.7118450003</v>
      </c>
      <c r="P24" s="48">
        <f>Nordfyn!J25</f>
        <v>-3595194.6691549998</v>
      </c>
      <c r="Q24" s="48">
        <f>Kerteminde!J25</f>
        <v>-3083517.4198500002</v>
      </c>
      <c r="R24" s="48">
        <f>'Særlige tilskud'!J25</f>
        <v>-4000000</v>
      </c>
    </row>
    <row r="25" spans="1:18" x14ac:dyDescent="0.25">
      <c r="A25" s="42" t="s">
        <v>37</v>
      </c>
      <c r="B25" s="42" t="s">
        <v>38</v>
      </c>
      <c r="C25" s="45">
        <v>-1246.72</v>
      </c>
      <c r="D25" s="45">
        <v>42000</v>
      </c>
      <c r="E25" s="45">
        <v>102.97</v>
      </c>
      <c r="F25" s="45">
        <v>-2.97</v>
      </c>
      <c r="G25" s="45">
        <v>43246.720000000001</v>
      </c>
      <c r="H25" s="48">
        <v>-246.72000000000003</v>
      </c>
      <c r="I25" s="48">
        <f t="shared" si="0"/>
        <v>0</v>
      </c>
      <c r="J25" s="57"/>
      <c r="K25" s="48">
        <f>'Fælles adm.'!J26</f>
        <v>0</v>
      </c>
      <c r="L25" s="48">
        <f>Odense!J26</f>
        <v>0</v>
      </c>
      <c r="M25" s="48">
        <f>Laks!J26</f>
        <v>0</v>
      </c>
      <c r="N25" s="48">
        <f>Assens!J26</f>
        <v>0</v>
      </c>
      <c r="O25" s="48">
        <f>Nyborg!J26</f>
        <v>0</v>
      </c>
      <c r="P25" s="48">
        <f>Nordfyn!J26</f>
        <v>0</v>
      </c>
      <c r="Q25" s="48">
        <f>Kerteminde!J26</f>
        <v>0</v>
      </c>
      <c r="R25" s="48">
        <f>'Særlige tilskud'!J26</f>
        <v>0</v>
      </c>
    </row>
    <row r="26" spans="1:18" x14ac:dyDescent="0.25">
      <c r="A26" s="42" t="s">
        <v>39</v>
      </c>
      <c r="B26" s="42" t="s">
        <v>40</v>
      </c>
      <c r="C26" s="45">
        <v>-131604.32999999999</v>
      </c>
      <c r="D26" s="45">
        <v>-463483.58</v>
      </c>
      <c r="E26" s="45">
        <v>71.61</v>
      </c>
      <c r="F26" s="45">
        <v>28.39</v>
      </c>
      <c r="G26" s="45">
        <v>-331879.25</v>
      </c>
      <c r="H26" s="48">
        <v>-300983.01</v>
      </c>
      <c r="I26" s="48">
        <f t="shared" si="0"/>
        <v>-283562</v>
      </c>
      <c r="J26" s="57"/>
      <c r="K26" s="48">
        <f>'Fælles adm.'!J27</f>
        <v>0</v>
      </c>
      <c r="L26" s="48">
        <f>Odense!J27</f>
        <v>0</v>
      </c>
      <c r="M26" s="48">
        <f>Laks!J27</f>
        <v>0</v>
      </c>
      <c r="N26" s="48">
        <f>Assens!J27</f>
        <v>0</v>
      </c>
      <c r="O26" s="48">
        <f>Nyborg!J27</f>
        <v>0</v>
      </c>
      <c r="P26" s="48">
        <f>Nordfyn!J27</f>
        <v>-33562</v>
      </c>
      <c r="Q26" s="48">
        <f>Kerteminde!J27</f>
        <v>-250000</v>
      </c>
      <c r="R26" s="48">
        <f>'Særlige tilskud'!J27</f>
        <v>0</v>
      </c>
    </row>
    <row r="27" spans="1:18" x14ac:dyDescent="0.25">
      <c r="A27" s="42" t="s">
        <v>41</v>
      </c>
      <c r="B27" s="42" t="s">
        <v>42</v>
      </c>
      <c r="H27" s="48"/>
      <c r="I27" s="48">
        <f t="shared" si="0"/>
        <v>0</v>
      </c>
      <c r="K27" s="48">
        <f>'Fælles adm.'!J28</f>
        <v>0</v>
      </c>
      <c r="L27" s="48">
        <f>Odense!J28</f>
        <v>0</v>
      </c>
      <c r="M27" s="48">
        <f>Laks!J28</f>
        <v>0</v>
      </c>
      <c r="N27" s="48">
        <f>Assens!J28</f>
        <v>0</v>
      </c>
      <c r="O27" s="48">
        <f>Nyborg!J28</f>
        <v>0</v>
      </c>
      <c r="P27" s="48">
        <f>Nordfyn!J28</f>
        <v>0</v>
      </c>
      <c r="Q27" s="48">
        <f>Kerteminde!J28</f>
        <v>0</v>
      </c>
      <c r="R27" s="48">
        <f>'Særlige tilskud'!J28</f>
        <v>0</v>
      </c>
    </row>
    <row r="28" spans="1:18" x14ac:dyDescent="0.25">
      <c r="A28" s="42" t="s">
        <v>43</v>
      </c>
      <c r="B28" s="42" t="s">
        <v>44</v>
      </c>
      <c r="H28" s="48"/>
      <c r="I28" s="48">
        <f t="shared" si="0"/>
        <v>0</v>
      </c>
      <c r="K28" s="48">
        <f>'Fælles adm.'!J29</f>
        <v>0</v>
      </c>
      <c r="L28" s="48">
        <f>Odense!J29</f>
        <v>0</v>
      </c>
      <c r="M28" s="48">
        <f>Laks!J29</f>
        <v>0</v>
      </c>
      <c r="N28" s="48">
        <f>Assens!J29</f>
        <v>0</v>
      </c>
      <c r="O28" s="48">
        <f>Nyborg!J29</f>
        <v>0</v>
      </c>
      <c r="P28" s="48">
        <f>Nordfyn!J29</f>
        <v>0</v>
      </c>
      <c r="Q28" s="48">
        <f>Kerteminde!J29</f>
        <v>0</v>
      </c>
      <c r="R28" s="48">
        <f>'Særlige tilskud'!J29</f>
        <v>0</v>
      </c>
    </row>
    <row r="29" spans="1:18" x14ac:dyDescent="0.25">
      <c r="A29" s="42" t="s">
        <v>12</v>
      </c>
      <c r="B29" s="42" t="s">
        <v>12</v>
      </c>
      <c r="H29" s="48"/>
      <c r="I29" s="48">
        <f t="shared" si="0"/>
        <v>0</v>
      </c>
      <c r="K29" s="48">
        <f>'Fælles adm.'!J30</f>
        <v>0</v>
      </c>
      <c r="L29" s="48">
        <f>Odense!J30</f>
        <v>0</v>
      </c>
      <c r="M29" s="48">
        <f>Laks!J30</f>
        <v>0</v>
      </c>
      <c r="N29" s="48">
        <f>Assens!J30</f>
        <v>0</v>
      </c>
      <c r="O29" s="48">
        <f>Nyborg!J30</f>
        <v>0</v>
      </c>
      <c r="P29" s="48">
        <f>Nordfyn!J30</f>
        <v>0</v>
      </c>
      <c r="Q29" s="48">
        <f>Kerteminde!J30</f>
        <v>0</v>
      </c>
      <c r="R29" s="48">
        <f>'Særlige tilskud'!J30</f>
        <v>0</v>
      </c>
    </row>
    <row r="30" spans="1:18" ht="15.75" thickBot="1" x14ac:dyDescent="0.3">
      <c r="A30" s="44" t="s">
        <v>45</v>
      </c>
      <c r="B30" s="44" t="s">
        <v>46</v>
      </c>
      <c r="C30" s="47">
        <v>8635017.6400000006</v>
      </c>
      <c r="D30" s="47">
        <v>-1120486.18</v>
      </c>
      <c r="E30" s="47">
        <v>870.65</v>
      </c>
      <c r="F30" s="47">
        <v>-770.65</v>
      </c>
      <c r="G30" s="47">
        <v>-9755503.8200000003</v>
      </c>
      <c r="H30" s="6">
        <v>-2851299.0100000035</v>
      </c>
      <c r="I30" s="6">
        <f t="shared" si="0"/>
        <v>4805663.5800000029</v>
      </c>
      <c r="K30" s="6">
        <f>'Fælles adm.'!J31</f>
        <v>-9.3132257461547852E-10</v>
      </c>
      <c r="L30" s="6">
        <f>Odense!J31</f>
        <v>2182541.1739249993</v>
      </c>
      <c r="M30" s="6">
        <f>Laks!J31</f>
        <v>27464.660000000149</v>
      </c>
      <c r="N30" s="6">
        <f>Assens!J31</f>
        <v>2362759.1569250021</v>
      </c>
      <c r="O30" s="6">
        <f>Nyborg!J31</f>
        <v>358312.84815500118</v>
      </c>
      <c r="P30" s="6">
        <f>Nordfyn!J31</f>
        <v>1754071.7108450001</v>
      </c>
      <c r="Q30" s="6">
        <f>Kerteminde!J31</f>
        <v>120514.03015000094</v>
      </c>
      <c r="R30" s="6">
        <f>'Særlige tilskud'!J31</f>
        <v>-2000000</v>
      </c>
    </row>
    <row r="31" spans="1:18" ht="15.75" thickTop="1" x14ac:dyDescent="0.25">
      <c r="A31" s="42" t="s">
        <v>12</v>
      </c>
      <c r="B31" s="42" t="s">
        <v>12</v>
      </c>
      <c r="H31" s="48"/>
      <c r="I31" s="48">
        <f t="shared" si="0"/>
        <v>0</v>
      </c>
      <c r="K31" s="48">
        <f>'Fælles adm.'!J32</f>
        <v>0</v>
      </c>
      <c r="L31" s="48">
        <f>Odense!J32</f>
        <v>0</v>
      </c>
      <c r="M31" s="48">
        <f>Laks!J32</f>
        <v>0</v>
      </c>
      <c r="N31" s="48">
        <f>Assens!J32</f>
        <v>0</v>
      </c>
      <c r="O31" s="48">
        <f>Nyborg!J32</f>
        <v>0</v>
      </c>
      <c r="P31" s="48">
        <f>Nordfyn!J32</f>
        <v>0</v>
      </c>
      <c r="Q31" s="48">
        <f>Kerteminde!J32</f>
        <v>0</v>
      </c>
      <c r="R31" s="48">
        <f>'Særlige tilskud'!J32</f>
        <v>0</v>
      </c>
    </row>
    <row r="32" spans="1:18" x14ac:dyDescent="0.25">
      <c r="A32" s="42" t="s">
        <v>47</v>
      </c>
      <c r="B32" s="42" t="s">
        <v>48</v>
      </c>
      <c r="C32" s="45">
        <v>-1533418.31</v>
      </c>
      <c r="D32" s="45">
        <v>-3644077.35</v>
      </c>
      <c r="E32" s="45">
        <v>57.92</v>
      </c>
      <c r="F32" s="45">
        <v>42.08</v>
      </c>
      <c r="G32" s="45">
        <v>-2110659.04</v>
      </c>
      <c r="H32" s="48">
        <v>-3146560.6999999997</v>
      </c>
      <c r="I32" s="48">
        <f t="shared" si="0"/>
        <v>-3536874.78</v>
      </c>
      <c r="K32" s="48">
        <f>'Fælles adm.'!J33</f>
        <v>0</v>
      </c>
      <c r="L32" s="48">
        <f>Odense!J33</f>
        <v>-1438476.1099999999</v>
      </c>
      <c r="M32" s="48">
        <f>Laks!J33</f>
        <v>-39547.33</v>
      </c>
      <c r="N32" s="48">
        <f>Assens!J33</f>
        <v>-391818.28</v>
      </c>
      <c r="O32" s="48">
        <f>Nyborg!J33</f>
        <v>-282706.99</v>
      </c>
      <c r="P32" s="48">
        <f>Nordfyn!J33</f>
        <v>-460093.5</v>
      </c>
      <c r="Q32" s="48">
        <f>Kerteminde!J33</f>
        <v>-924232.57</v>
      </c>
      <c r="R32" s="48">
        <f>'Særlige tilskud'!J33</f>
        <v>0</v>
      </c>
    </row>
    <row r="33" spans="1:18" x14ac:dyDescent="0.25">
      <c r="A33" s="42" t="s">
        <v>12</v>
      </c>
      <c r="B33" s="42" t="s">
        <v>12</v>
      </c>
      <c r="H33" s="48"/>
      <c r="I33" s="48">
        <f t="shared" si="0"/>
        <v>0</v>
      </c>
      <c r="K33" s="48">
        <f>'Fælles adm.'!J34</f>
        <v>0</v>
      </c>
      <c r="L33" s="48">
        <f>Odense!J34</f>
        <v>0</v>
      </c>
      <c r="M33" s="48">
        <f>Laks!J34</f>
        <v>0</v>
      </c>
      <c r="N33" s="48">
        <f>Assens!J34</f>
        <v>0</v>
      </c>
      <c r="O33" s="48">
        <f>Nyborg!J34</f>
        <v>0</v>
      </c>
      <c r="P33" s="48">
        <f>Nordfyn!J34</f>
        <v>0</v>
      </c>
      <c r="Q33" s="48">
        <f>Kerteminde!J34</f>
        <v>0</v>
      </c>
      <c r="R33" s="48">
        <f>'Særlige tilskud'!J34</f>
        <v>0</v>
      </c>
    </row>
    <row r="34" spans="1:18" ht="15.75" thickBot="1" x14ac:dyDescent="0.3">
      <c r="A34" s="44" t="s">
        <v>12</v>
      </c>
      <c r="B34" s="44" t="s">
        <v>49</v>
      </c>
      <c r="C34" s="47">
        <v>7101599.3300000001</v>
      </c>
      <c r="D34" s="47">
        <v>-4764563.53</v>
      </c>
      <c r="E34" s="47">
        <v>249.05</v>
      </c>
      <c r="F34" s="47">
        <v>-149.05000000000001</v>
      </c>
      <c r="G34" s="47">
        <v>-11866162.859999999</v>
      </c>
      <c r="H34" s="6">
        <v>-5997859.7100000028</v>
      </c>
      <c r="I34" s="6">
        <f t="shared" si="0"/>
        <v>1268788.8000000031</v>
      </c>
      <c r="K34" s="6">
        <f>'Fælles adm.'!J35</f>
        <v>-9.3132257461547852E-10</v>
      </c>
      <c r="L34" s="6">
        <f>Odense!J35</f>
        <v>744065.06392499944</v>
      </c>
      <c r="M34" s="6">
        <f>Laks!J35</f>
        <v>-12082.669999999853</v>
      </c>
      <c r="N34" s="6">
        <f>Assens!J35</f>
        <v>1970940.8769250021</v>
      </c>
      <c r="O34" s="6">
        <f>Nyborg!J35</f>
        <v>75605.858155001188</v>
      </c>
      <c r="P34" s="6">
        <f>Nordfyn!J35</f>
        <v>1293978.2108450001</v>
      </c>
      <c r="Q34" s="6">
        <f>Kerteminde!J35</f>
        <v>-803718.53984999901</v>
      </c>
      <c r="R34" s="6">
        <f>'Særlige tilskud'!J35</f>
        <v>-2000000</v>
      </c>
    </row>
    <row r="35" spans="1:18" ht="15.75" thickTop="1" x14ac:dyDescent="0.25">
      <c r="A35" s="42" t="s">
        <v>12</v>
      </c>
      <c r="B35" s="42" t="s">
        <v>12</v>
      </c>
      <c r="H35" s="48"/>
      <c r="I35" s="48">
        <f t="shared" si="0"/>
        <v>0</v>
      </c>
      <c r="K35" s="48"/>
      <c r="L35" s="48">
        <f>Odense!J36</f>
        <v>0</v>
      </c>
      <c r="M35" s="48">
        <f>Laks!J36</f>
        <v>0</v>
      </c>
      <c r="N35" s="48">
        <f>Assens!J36</f>
        <v>0</v>
      </c>
      <c r="O35" s="48">
        <f>Nyborg!J36</f>
        <v>0</v>
      </c>
      <c r="P35" s="48">
        <f>Nordfyn!J36</f>
        <v>0</v>
      </c>
      <c r="Q35" s="48">
        <f>Kerteminde!J36</f>
        <v>0</v>
      </c>
      <c r="R35" s="48">
        <f>'Særlige tilskud'!J36</f>
        <v>0</v>
      </c>
    </row>
    <row r="36" spans="1:18" x14ac:dyDescent="0.25">
      <c r="A36" s="43" t="s">
        <v>12</v>
      </c>
      <c r="B36" s="43" t="s">
        <v>50</v>
      </c>
      <c r="C36" s="46"/>
      <c r="D36" s="46"/>
      <c r="E36" s="46"/>
      <c r="F36" s="46"/>
      <c r="G36" s="46"/>
      <c r="H36" s="5">
        <v>0</v>
      </c>
      <c r="I36" s="5">
        <f t="shared" si="0"/>
        <v>0</v>
      </c>
      <c r="K36" s="5"/>
      <c r="L36" s="5">
        <f>Odense!J37</f>
        <v>0</v>
      </c>
      <c r="M36" s="5">
        <f>Laks!J37</f>
        <v>0</v>
      </c>
      <c r="N36" s="5">
        <f>Assens!J37</f>
        <v>0</v>
      </c>
      <c r="O36" s="5">
        <f>Nyborg!J37</f>
        <v>0</v>
      </c>
      <c r="P36" s="5">
        <f>Nordfyn!J37</f>
        <v>0</v>
      </c>
      <c r="Q36" s="5">
        <f>Kerteminde!J37</f>
        <v>0</v>
      </c>
      <c r="R36" s="5">
        <f>'Særlige tilskud'!J37</f>
        <v>0</v>
      </c>
    </row>
    <row r="37" spans="1:18" x14ac:dyDescent="0.25">
      <c r="A37" s="43"/>
      <c r="B37" s="43"/>
      <c r="C37" s="46"/>
      <c r="D37" s="46"/>
      <c r="E37" s="46"/>
      <c r="F37" s="46"/>
      <c r="G37" s="46"/>
      <c r="H37" s="5"/>
      <c r="I37" s="5">
        <f t="shared" si="0"/>
        <v>0</v>
      </c>
      <c r="K37" s="5"/>
      <c r="L37" s="5">
        <f>Odense!J38</f>
        <v>0</v>
      </c>
      <c r="M37" s="5">
        <f>Laks!J38</f>
        <v>0</v>
      </c>
      <c r="N37" s="5">
        <f>Assens!J38</f>
        <v>0</v>
      </c>
      <c r="O37" s="5">
        <f>Nyborg!J38</f>
        <v>0</v>
      </c>
      <c r="P37" s="5">
        <f>Nordfyn!J38</f>
        <v>0</v>
      </c>
      <c r="Q37" s="5">
        <f>Kerteminde!J38</f>
        <v>0</v>
      </c>
      <c r="R37" s="5">
        <f>'Særlige tilskud'!J38</f>
        <v>0</v>
      </c>
    </row>
    <row r="38" spans="1:18" x14ac:dyDescent="0.25">
      <c r="A38" s="43" t="s">
        <v>51</v>
      </c>
      <c r="B38" s="43" t="s">
        <v>52</v>
      </c>
      <c r="C38" s="46"/>
      <c r="D38" s="46"/>
      <c r="E38" s="46"/>
      <c r="F38" s="46"/>
      <c r="G38" s="46"/>
      <c r="H38" s="5"/>
      <c r="I38" s="5">
        <f t="shared" si="0"/>
        <v>0</v>
      </c>
      <c r="K38" s="5"/>
      <c r="L38" s="5">
        <f>Odense!J39</f>
        <v>0</v>
      </c>
      <c r="M38" s="5">
        <f>Laks!J39</f>
        <v>0</v>
      </c>
      <c r="N38" s="5">
        <f>Assens!J39</f>
        <v>0</v>
      </c>
      <c r="O38" s="5">
        <f>Nyborg!J39</f>
        <v>0</v>
      </c>
      <c r="P38" s="5">
        <f>Nordfyn!J39</f>
        <v>0</v>
      </c>
      <c r="Q38" s="5">
        <f>Kerteminde!J39</f>
        <v>0</v>
      </c>
      <c r="R38" s="5">
        <f>'Særlige tilskud'!J39</f>
        <v>0</v>
      </c>
    </row>
    <row r="39" spans="1:18" x14ac:dyDescent="0.25">
      <c r="A39" s="42" t="s">
        <v>53</v>
      </c>
      <c r="B39" s="42" t="s">
        <v>54</v>
      </c>
      <c r="C39" s="45">
        <v>28865159.129999999</v>
      </c>
      <c r="D39" s="45">
        <v>64739024.600000001</v>
      </c>
      <c r="E39" s="45">
        <v>55.41</v>
      </c>
      <c r="F39" s="45">
        <v>44.59</v>
      </c>
      <c r="G39" s="45">
        <v>35873865.469999999</v>
      </c>
      <c r="H39" s="49">
        <v>55873421.189999998</v>
      </c>
      <c r="I39" s="49">
        <f t="shared" si="0"/>
        <v>54708532</v>
      </c>
      <c r="K39" s="49">
        <f>'Fælles adm.'!J40</f>
        <v>0</v>
      </c>
      <c r="L39" s="49">
        <f>Odense!J40</f>
        <v>20756712</v>
      </c>
      <c r="M39" s="49">
        <f>Laks!J40</f>
        <v>0</v>
      </c>
      <c r="N39" s="49">
        <f>Assens!J40</f>
        <v>8160008</v>
      </c>
      <c r="O39" s="49">
        <f>Nyborg!J40</f>
        <v>8778409</v>
      </c>
      <c r="P39" s="49">
        <f>Nordfyn!J40</f>
        <v>9053391</v>
      </c>
      <c r="Q39" s="49">
        <f>Kerteminde!J40</f>
        <v>7960012</v>
      </c>
      <c r="R39" s="49">
        <f>'Særlige tilskud'!J40</f>
        <v>0</v>
      </c>
    </row>
    <row r="40" spans="1:18" x14ac:dyDescent="0.25">
      <c r="A40" s="42" t="s">
        <v>55</v>
      </c>
      <c r="B40" s="42" t="s">
        <v>56</v>
      </c>
      <c r="C40" s="45">
        <v>60595.199999999997</v>
      </c>
      <c r="D40" s="45">
        <v>3691120</v>
      </c>
      <c r="E40" s="45">
        <v>98.36</v>
      </c>
      <c r="F40" s="45">
        <v>1.64</v>
      </c>
      <c r="G40" s="45">
        <v>3630524.8</v>
      </c>
      <c r="H40" s="49">
        <v>1300000</v>
      </c>
      <c r="I40" s="49">
        <f t="shared" si="0"/>
        <v>2978352</v>
      </c>
      <c r="K40" s="49">
        <f>'Fælles adm.'!J41</f>
        <v>0</v>
      </c>
      <c r="L40" s="49">
        <f>Odense!J41</f>
        <v>1145520</v>
      </c>
      <c r="M40" s="49">
        <f>Laks!J41</f>
        <v>0</v>
      </c>
      <c r="N40" s="49">
        <f>Assens!J41</f>
        <v>356384</v>
      </c>
      <c r="O40" s="49">
        <f>Nyborg!J41</f>
        <v>547304</v>
      </c>
      <c r="P40" s="49">
        <f>Nordfyn!J41</f>
        <v>458208</v>
      </c>
      <c r="Q40" s="49">
        <f>Kerteminde!J41</f>
        <v>470936</v>
      </c>
      <c r="R40" s="49">
        <f>'Særlige tilskud'!J41</f>
        <v>0</v>
      </c>
    </row>
    <row r="41" spans="1:18" x14ac:dyDescent="0.25">
      <c r="A41" s="42" t="s">
        <v>57</v>
      </c>
      <c r="B41" s="42" t="s">
        <v>58</v>
      </c>
      <c r="C41" s="45">
        <v>107318.33</v>
      </c>
      <c r="G41" s="45">
        <v>-107318.33</v>
      </c>
      <c r="H41" s="49">
        <v>0</v>
      </c>
      <c r="I41" s="49">
        <f t="shared" si="0"/>
        <v>0</v>
      </c>
      <c r="K41" s="49">
        <f>'Fælles adm.'!J42</f>
        <v>0</v>
      </c>
      <c r="L41" s="49">
        <f>Odense!J42</f>
        <v>0</v>
      </c>
      <c r="M41" s="49">
        <f>Laks!J42</f>
        <v>0</v>
      </c>
      <c r="N41" s="49">
        <f>Assens!J42</f>
        <v>0</v>
      </c>
      <c r="O41" s="49">
        <f>Nyborg!J42</f>
        <v>0</v>
      </c>
      <c r="P41" s="49">
        <f>Nordfyn!J42</f>
        <v>0</v>
      </c>
      <c r="Q41" s="49">
        <f>Kerteminde!J42</f>
        <v>0</v>
      </c>
      <c r="R41" s="49">
        <f>'Særlige tilskud'!J42</f>
        <v>0</v>
      </c>
    </row>
    <row r="42" spans="1:18" x14ac:dyDescent="0.25">
      <c r="A42" s="42" t="s">
        <v>59</v>
      </c>
      <c r="B42" s="42" t="s">
        <v>60</v>
      </c>
      <c r="C42" s="45">
        <v>9595.9500000000007</v>
      </c>
      <c r="D42" s="45">
        <v>87235.91</v>
      </c>
      <c r="E42" s="45">
        <v>89</v>
      </c>
      <c r="F42" s="45">
        <v>11</v>
      </c>
      <c r="G42" s="45">
        <v>77639.960000000006</v>
      </c>
      <c r="H42" s="49">
        <v>0</v>
      </c>
      <c r="I42" s="49">
        <f t="shared" si="0"/>
        <v>0</v>
      </c>
      <c r="K42" s="49">
        <f>'Fælles adm.'!J43</f>
        <v>0</v>
      </c>
      <c r="L42" s="49">
        <f>Odense!J43</f>
        <v>0</v>
      </c>
      <c r="M42" s="49">
        <f>Laks!J43</f>
        <v>0</v>
      </c>
      <c r="N42" s="49">
        <f>Assens!J43</f>
        <v>0</v>
      </c>
      <c r="O42" s="49">
        <f>Nyborg!J43</f>
        <v>0</v>
      </c>
      <c r="P42" s="49">
        <f>Nordfyn!J43</f>
        <v>0</v>
      </c>
      <c r="Q42" s="49">
        <f>Kerteminde!J43</f>
        <v>0</v>
      </c>
      <c r="R42" s="49">
        <f>'Særlige tilskud'!J43</f>
        <v>0</v>
      </c>
    </row>
    <row r="43" spans="1:18" x14ac:dyDescent="0.25">
      <c r="A43" s="42" t="s">
        <v>61</v>
      </c>
      <c r="B43" s="42" t="s">
        <v>62</v>
      </c>
      <c r="C43" s="45">
        <v>5516975</v>
      </c>
      <c r="D43" s="45">
        <v>11033950</v>
      </c>
      <c r="E43" s="45">
        <v>50</v>
      </c>
      <c r="F43" s="45">
        <v>50</v>
      </c>
      <c r="G43" s="45">
        <v>5516975</v>
      </c>
      <c r="H43" s="49">
        <v>11033950</v>
      </c>
      <c r="I43" s="49">
        <f t="shared" si="0"/>
        <v>11033950</v>
      </c>
      <c r="K43" s="49">
        <f>'Fælles adm.'!J44</f>
        <v>2226850</v>
      </c>
      <c r="L43" s="49">
        <f>Odense!J44</f>
        <v>1761420</v>
      </c>
      <c r="M43" s="49">
        <f>Laks!J44</f>
        <v>0</v>
      </c>
      <c r="N43" s="49">
        <f>Assens!J44</f>
        <v>1761420</v>
      </c>
      <c r="O43" s="49">
        <f>Nyborg!J44</f>
        <v>1761420</v>
      </c>
      <c r="P43" s="49">
        <f>Nordfyn!J44</f>
        <v>1761420</v>
      </c>
      <c r="Q43" s="49">
        <f>Kerteminde!J44</f>
        <v>1761420</v>
      </c>
      <c r="R43" s="49">
        <f>'Særlige tilskud'!J44</f>
        <v>0</v>
      </c>
    </row>
    <row r="44" spans="1:18" x14ac:dyDescent="0.25">
      <c r="A44" s="42" t="s">
        <v>63</v>
      </c>
      <c r="B44" s="42" t="s">
        <v>64</v>
      </c>
      <c r="C44" s="45">
        <v>12016817.16</v>
      </c>
      <c r="D44" s="45">
        <v>11396646</v>
      </c>
      <c r="E44" s="45">
        <v>-5.44</v>
      </c>
      <c r="F44" s="45">
        <v>105.44</v>
      </c>
      <c r="G44" s="45">
        <v>-620171.16</v>
      </c>
      <c r="H44" s="49">
        <v>10612902.510000002</v>
      </c>
      <c r="I44" s="49">
        <f t="shared" si="0"/>
        <v>2000000</v>
      </c>
      <c r="K44" s="49">
        <f>'Fælles adm.'!J45</f>
        <v>0</v>
      </c>
      <c r="L44" s="49">
        <f>Odense!J45</f>
        <v>0</v>
      </c>
      <c r="M44" s="49">
        <f>Laks!J45</f>
        <v>0</v>
      </c>
      <c r="N44" s="49">
        <f>Assens!J45</f>
        <v>0</v>
      </c>
      <c r="O44" s="49">
        <f>Nyborg!J45</f>
        <v>0</v>
      </c>
      <c r="P44" s="49">
        <f>Nordfyn!J45</f>
        <v>0</v>
      </c>
      <c r="Q44" s="49">
        <f>Kerteminde!J45</f>
        <v>0</v>
      </c>
      <c r="R44" s="49">
        <f>'Særlige tilskud'!J45</f>
        <v>2000000</v>
      </c>
    </row>
    <row r="45" spans="1:18" x14ac:dyDescent="0.25">
      <c r="A45" s="43" t="s">
        <v>65</v>
      </c>
      <c r="B45" s="43" t="s">
        <v>66</v>
      </c>
      <c r="C45" s="46">
        <v>46576460.770000003</v>
      </c>
      <c r="D45" s="46">
        <v>90947976.510000005</v>
      </c>
      <c r="E45" s="46">
        <v>48.79</v>
      </c>
      <c r="F45" s="46">
        <v>51.21</v>
      </c>
      <c r="G45" s="46">
        <v>44371515.740000002</v>
      </c>
      <c r="H45" s="50">
        <v>79521201.560000002</v>
      </c>
      <c r="I45" s="50">
        <f t="shared" si="0"/>
        <v>70720834</v>
      </c>
      <c r="K45" s="50">
        <f>'Fælles adm.'!J46</f>
        <v>2226850</v>
      </c>
      <c r="L45" s="50">
        <f>Odense!J46</f>
        <v>23663652</v>
      </c>
      <c r="M45" s="50">
        <f>Laks!J46</f>
        <v>0</v>
      </c>
      <c r="N45" s="50">
        <f>Assens!J46</f>
        <v>10277812</v>
      </c>
      <c r="O45" s="50">
        <f>Nyborg!J46</f>
        <v>11087133</v>
      </c>
      <c r="P45" s="50">
        <f>Nordfyn!J46</f>
        <v>11273019</v>
      </c>
      <c r="Q45" s="50">
        <f>Kerteminde!J46</f>
        <v>10192368</v>
      </c>
      <c r="R45" s="50">
        <f>'Særlige tilskud'!J46</f>
        <v>2000000</v>
      </c>
    </row>
    <row r="46" spans="1:18" x14ac:dyDescent="0.25">
      <c r="A46" s="42" t="s">
        <v>12</v>
      </c>
      <c r="B46" s="42" t="s">
        <v>12</v>
      </c>
      <c r="H46" s="49"/>
      <c r="I46" s="49">
        <f t="shared" si="0"/>
        <v>0</v>
      </c>
      <c r="K46" s="49">
        <f>'Fælles adm.'!J47</f>
        <v>0</v>
      </c>
      <c r="L46" s="49">
        <f>Odense!J47</f>
        <v>0</v>
      </c>
      <c r="M46" s="49">
        <f>Laks!J47</f>
        <v>0</v>
      </c>
      <c r="N46" s="49">
        <f>Assens!J47</f>
        <v>0</v>
      </c>
      <c r="O46" s="49">
        <f>Nyborg!J47</f>
        <v>0</v>
      </c>
      <c r="P46" s="49">
        <f>Nordfyn!J47</f>
        <v>0</v>
      </c>
      <c r="Q46" s="49">
        <f>Kerteminde!J47</f>
        <v>0</v>
      </c>
      <c r="R46" s="49">
        <f>'Særlige tilskud'!J47</f>
        <v>0</v>
      </c>
    </row>
    <row r="47" spans="1:18" x14ac:dyDescent="0.25">
      <c r="A47" s="43" t="s">
        <v>67</v>
      </c>
      <c r="B47" s="43" t="s">
        <v>68</v>
      </c>
      <c r="C47" s="46"/>
      <c r="D47" s="46"/>
      <c r="E47" s="46"/>
      <c r="F47" s="46"/>
      <c r="G47" s="46"/>
      <c r="H47" s="50"/>
      <c r="I47" s="50">
        <f t="shared" si="0"/>
        <v>0</v>
      </c>
      <c r="K47" s="50">
        <f>'Fælles adm.'!J48</f>
        <v>0</v>
      </c>
      <c r="L47" s="50">
        <f>Odense!J48</f>
        <v>0</v>
      </c>
      <c r="M47" s="50">
        <f>Laks!J48</f>
        <v>0</v>
      </c>
      <c r="N47" s="50">
        <f>Assens!J48</f>
        <v>0</v>
      </c>
      <c r="O47" s="50">
        <f>Nyborg!J48</f>
        <v>0</v>
      </c>
      <c r="P47" s="50">
        <f>Nordfyn!J48</f>
        <v>0</v>
      </c>
      <c r="Q47" s="50">
        <f>Kerteminde!J48</f>
        <v>0</v>
      </c>
      <c r="R47" s="50">
        <f>'Særlige tilskud'!J48</f>
        <v>0</v>
      </c>
    </row>
    <row r="48" spans="1:18" x14ac:dyDescent="0.25">
      <c r="A48" s="42" t="s">
        <v>69</v>
      </c>
      <c r="B48" s="42" t="s">
        <v>70</v>
      </c>
      <c r="H48" s="49"/>
      <c r="I48" s="49">
        <f t="shared" si="0"/>
        <v>0</v>
      </c>
      <c r="K48" s="49">
        <f>'Fælles adm.'!J49</f>
        <v>0</v>
      </c>
      <c r="L48" s="49">
        <f>Odense!J49</f>
        <v>0</v>
      </c>
      <c r="M48" s="49">
        <f>Laks!J49</f>
        <v>0</v>
      </c>
      <c r="N48" s="49">
        <f>Assens!J49</f>
        <v>0</v>
      </c>
      <c r="O48" s="49">
        <f>Nyborg!J49</f>
        <v>0</v>
      </c>
      <c r="P48" s="49">
        <f>Nordfyn!J49</f>
        <v>0</v>
      </c>
      <c r="Q48" s="49">
        <f>Kerteminde!J49</f>
        <v>0</v>
      </c>
      <c r="R48" s="49">
        <f>'Særlige tilskud'!J49</f>
        <v>0</v>
      </c>
    </row>
    <row r="49" spans="1:18" x14ac:dyDescent="0.25">
      <c r="A49" s="42" t="s">
        <v>71</v>
      </c>
      <c r="B49" s="42" t="s">
        <v>72</v>
      </c>
      <c r="C49" s="45">
        <v>115226.65</v>
      </c>
      <c r="G49" s="45">
        <v>-115226.65</v>
      </c>
      <c r="H49" s="49">
        <v>162512.65</v>
      </c>
      <c r="I49" s="49">
        <f t="shared" si="0"/>
        <v>0</v>
      </c>
      <c r="K49" s="49">
        <f>'Fælles adm.'!J50</f>
        <v>0</v>
      </c>
      <c r="L49" s="49">
        <f>Odense!J50</f>
        <v>0</v>
      </c>
      <c r="M49" s="49">
        <f>Laks!J50</f>
        <v>0</v>
      </c>
      <c r="N49" s="49">
        <f>Assens!J50</f>
        <v>0</v>
      </c>
      <c r="O49" s="49">
        <f>Nyborg!J50</f>
        <v>0</v>
      </c>
      <c r="P49" s="49">
        <f>Nordfyn!J50</f>
        <v>0</v>
      </c>
      <c r="Q49" s="49">
        <f>Kerteminde!J50</f>
        <v>0</v>
      </c>
      <c r="R49" s="49">
        <f>'Særlige tilskud'!J50</f>
        <v>0</v>
      </c>
    </row>
    <row r="50" spans="1:18" x14ac:dyDescent="0.25">
      <c r="A50" s="42" t="s">
        <v>73</v>
      </c>
      <c r="B50" s="42" t="s">
        <v>74</v>
      </c>
      <c r="D50" s="45">
        <v>301747</v>
      </c>
      <c r="E50" s="45">
        <v>100</v>
      </c>
      <c r="G50" s="45">
        <v>301747</v>
      </c>
      <c r="H50" s="49">
        <v>0</v>
      </c>
      <c r="I50" s="49">
        <f t="shared" si="0"/>
        <v>0</v>
      </c>
      <c r="K50" s="49">
        <f>'Fælles adm.'!J51</f>
        <v>0</v>
      </c>
      <c r="L50" s="49">
        <f>Odense!J51</f>
        <v>0</v>
      </c>
      <c r="M50" s="49">
        <f>Laks!J51</f>
        <v>0</v>
      </c>
      <c r="N50" s="49">
        <f>Assens!J51</f>
        <v>0</v>
      </c>
      <c r="O50" s="49">
        <f>Nyborg!J51</f>
        <v>0</v>
      </c>
      <c r="P50" s="49">
        <f>Nordfyn!J51</f>
        <v>0</v>
      </c>
      <c r="Q50" s="49">
        <f>Kerteminde!J51</f>
        <v>0</v>
      </c>
      <c r="R50" s="49">
        <f>'Særlige tilskud'!J51</f>
        <v>0</v>
      </c>
    </row>
    <row r="51" spans="1:18" x14ac:dyDescent="0.25">
      <c r="A51" s="42" t="s">
        <v>75</v>
      </c>
      <c r="B51" s="42" t="s">
        <v>76</v>
      </c>
      <c r="C51" s="45">
        <v>151069.5</v>
      </c>
      <c r="G51" s="45">
        <v>-151069.5</v>
      </c>
      <c r="H51" s="49">
        <v>151069.5</v>
      </c>
      <c r="I51" s="49">
        <f t="shared" si="0"/>
        <v>151069.5</v>
      </c>
      <c r="K51" s="49">
        <f>'Fælles adm.'!J52</f>
        <v>0</v>
      </c>
      <c r="L51" s="49">
        <f>Odense!J52</f>
        <v>27187.5</v>
      </c>
      <c r="M51" s="49">
        <f>Laks!J52</f>
        <v>0</v>
      </c>
      <c r="N51" s="49">
        <f>Assens!J52</f>
        <v>18000</v>
      </c>
      <c r="O51" s="49">
        <f>Nyborg!J52</f>
        <v>0</v>
      </c>
      <c r="P51" s="49">
        <f>Nordfyn!J52</f>
        <v>105882</v>
      </c>
      <c r="Q51" s="49">
        <f>Kerteminde!J52</f>
        <v>0</v>
      </c>
      <c r="R51" s="49">
        <f>'Særlige tilskud'!J52</f>
        <v>0</v>
      </c>
    </row>
    <row r="52" spans="1:18" x14ac:dyDescent="0.25">
      <c r="A52" s="42" t="s">
        <v>77</v>
      </c>
      <c r="B52" s="42" t="s">
        <v>78</v>
      </c>
      <c r="C52" s="45">
        <v>4800</v>
      </c>
      <c r="D52" s="45">
        <v>26000</v>
      </c>
      <c r="E52" s="45">
        <v>81.540000000000006</v>
      </c>
      <c r="F52" s="45">
        <v>18.46</v>
      </c>
      <c r="G52" s="45">
        <v>21200</v>
      </c>
      <c r="H52" s="49">
        <v>26000</v>
      </c>
      <c r="I52" s="49">
        <f t="shared" si="0"/>
        <v>26000</v>
      </c>
      <c r="K52" s="49">
        <f>'Fælles adm.'!J53</f>
        <v>0</v>
      </c>
      <c r="L52" s="49">
        <f>Odense!J53</f>
        <v>16000</v>
      </c>
      <c r="M52" s="49">
        <f>Laks!J53</f>
        <v>0</v>
      </c>
      <c r="N52" s="49">
        <f>Assens!J53</f>
        <v>0</v>
      </c>
      <c r="O52" s="49">
        <f>Nyborg!J53</f>
        <v>0</v>
      </c>
      <c r="P52" s="49">
        <f>Nordfyn!J53</f>
        <v>10000</v>
      </c>
      <c r="Q52" s="49">
        <f>Kerteminde!J53</f>
        <v>0</v>
      </c>
      <c r="R52" s="49">
        <f>'Særlige tilskud'!J53</f>
        <v>0</v>
      </c>
    </row>
    <row r="53" spans="1:18" x14ac:dyDescent="0.25">
      <c r="A53" s="42" t="s">
        <v>79</v>
      </c>
      <c r="B53" s="42" t="s">
        <v>80</v>
      </c>
      <c r="C53" s="45">
        <v>13500</v>
      </c>
      <c r="G53" s="45">
        <v>-13500</v>
      </c>
      <c r="H53" s="49">
        <v>13500</v>
      </c>
      <c r="I53" s="49">
        <f t="shared" si="0"/>
        <v>13500</v>
      </c>
      <c r="K53" s="49">
        <f>'Fælles adm.'!J54</f>
        <v>0</v>
      </c>
      <c r="L53" s="49">
        <f>Odense!J54</f>
        <v>0</v>
      </c>
      <c r="M53" s="49">
        <f>Laks!J54</f>
        <v>0</v>
      </c>
      <c r="N53" s="49">
        <f>Assens!J54</f>
        <v>0</v>
      </c>
      <c r="O53" s="49">
        <f>Nyborg!J54</f>
        <v>0</v>
      </c>
      <c r="P53" s="49">
        <f>Nordfyn!J54</f>
        <v>0</v>
      </c>
      <c r="Q53" s="49">
        <f>Kerteminde!J54</f>
        <v>13500</v>
      </c>
      <c r="R53" s="49">
        <f>'Særlige tilskud'!J54</f>
        <v>0</v>
      </c>
    </row>
    <row r="54" spans="1:18" x14ac:dyDescent="0.25">
      <c r="A54" s="42" t="s">
        <v>81</v>
      </c>
      <c r="B54" s="42" t="s">
        <v>82</v>
      </c>
      <c r="C54" s="45">
        <v>2966638.5</v>
      </c>
      <c r="D54" s="45">
        <v>3277907.67</v>
      </c>
      <c r="E54" s="45">
        <v>9.5</v>
      </c>
      <c r="F54" s="45">
        <v>90.5</v>
      </c>
      <c r="G54" s="45">
        <v>311269.17</v>
      </c>
      <c r="H54" s="49">
        <v>3292659.8</v>
      </c>
      <c r="I54" s="49">
        <f t="shared" si="0"/>
        <v>3083128.8</v>
      </c>
      <c r="K54" s="49">
        <f>'Fælles adm.'!J55</f>
        <v>0</v>
      </c>
      <c r="L54" s="49">
        <f>Odense!J55</f>
        <v>12432</v>
      </c>
      <c r="M54" s="49">
        <f>Laks!J55</f>
        <v>3041500</v>
      </c>
      <c r="N54" s="49">
        <f>Assens!J55</f>
        <v>5196.8</v>
      </c>
      <c r="O54" s="49">
        <f>Nyborg!J55</f>
        <v>0</v>
      </c>
      <c r="P54" s="49">
        <f>Nordfyn!J55</f>
        <v>24000</v>
      </c>
      <c r="Q54" s="49">
        <f>Kerteminde!J55</f>
        <v>0</v>
      </c>
      <c r="R54" s="49">
        <f>'Særlige tilskud'!J55</f>
        <v>0</v>
      </c>
    </row>
    <row r="55" spans="1:18" x14ac:dyDescent="0.25">
      <c r="A55" s="42" t="s">
        <v>83</v>
      </c>
      <c r="B55" s="42" t="s">
        <v>84</v>
      </c>
      <c r="C55" s="45">
        <v>43400.3</v>
      </c>
      <c r="D55" s="45">
        <v>1520321</v>
      </c>
      <c r="E55" s="45">
        <v>97.15</v>
      </c>
      <c r="F55" s="45">
        <v>2.85</v>
      </c>
      <c r="G55" s="45">
        <v>1476920.7</v>
      </c>
      <c r="H55" s="49">
        <v>1523921</v>
      </c>
      <c r="I55" s="49">
        <f t="shared" si="0"/>
        <v>1520321</v>
      </c>
      <c r="K55" s="49">
        <f>'Fælles adm.'!J56</f>
        <v>0</v>
      </c>
      <c r="L55" s="49">
        <f>Odense!J56</f>
        <v>500000</v>
      </c>
      <c r="M55" s="49">
        <f>Laks!J56</f>
        <v>0</v>
      </c>
      <c r="N55" s="49">
        <f>Assens!J56</f>
        <v>400000</v>
      </c>
      <c r="O55" s="49">
        <f>Nyborg!J56</f>
        <v>75000</v>
      </c>
      <c r="P55" s="49">
        <f>Nordfyn!J56</f>
        <v>350000</v>
      </c>
      <c r="Q55" s="49">
        <f>Kerteminde!J56</f>
        <v>195321</v>
      </c>
      <c r="R55" s="49">
        <f>'Særlige tilskud'!J56</f>
        <v>0</v>
      </c>
    </row>
    <row r="56" spans="1:18" x14ac:dyDescent="0.25">
      <c r="A56" s="42" t="s">
        <v>85</v>
      </c>
      <c r="B56" s="42" t="s">
        <v>86</v>
      </c>
      <c r="C56" s="45">
        <v>6600</v>
      </c>
      <c r="G56" s="45">
        <v>-6600</v>
      </c>
      <c r="H56" s="49">
        <v>6850</v>
      </c>
      <c r="I56" s="49">
        <f t="shared" si="0"/>
        <v>250</v>
      </c>
      <c r="K56" s="49">
        <f>'Fælles adm.'!J57</f>
        <v>0</v>
      </c>
      <c r="L56" s="49">
        <f>Odense!J57</f>
        <v>0</v>
      </c>
      <c r="M56" s="49">
        <f>Laks!J57</f>
        <v>0</v>
      </c>
      <c r="N56" s="49">
        <f>Assens!J57</f>
        <v>0</v>
      </c>
      <c r="O56" s="49">
        <f>Nyborg!J57</f>
        <v>0</v>
      </c>
      <c r="P56" s="49">
        <f>Nordfyn!J57</f>
        <v>250</v>
      </c>
      <c r="Q56" s="49">
        <f>Kerteminde!J57</f>
        <v>0</v>
      </c>
      <c r="R56" s="49">
        <f>'Særlige tilskud'!J57</f>
        <v>0</v>
      </c>
    </row>
    <row r="57" spans="1:18" x14ac:dyDescent="0.25">
      <c r="A57" s="42" t="s">
        <v>87</v>
      </c>
      <c r="B57" s="42" t="s">
        <v>88</v>
      </c>
      <c r="C57" s="45">
        <v>9254.1</v>
      </c>
      <c r="D57" s="45">
        <v>513320</v>
      </c>
      <c r="E57" s="45">
        <v>98.2</v>
      </c>
      <c r="F57" s="45">
        <v>1.8</v>
      </c>
      <c r="G57" s="45">
        <v>504065.9</v>
      </c>
      <c r="H57" s="49">
        <v>667774.1</v>
      </c>
      <c r="I57" s="49">
        <f t="shared" si="0"/>
        <v>667774.1</v>
      </c>
      <c r="K57" s="49">
        <f>'Fælles adm.'!J58</f>
        <v>0</v>
      </c>
      <c r="L57" s="49">
        <f>Odense!J58</f>
        <v>4454.1000000000004</v>
      </c>
      <c r="M57" s="49">
        <f>Laks!J58</f>
        <v>0</v>
      </c>
      <c r="N57" s="49">
        <f>Assens!J58</f>
        <v>330000</v>
      </c>
      <c r="O57" s="49">
        <f>Nyborg!J58</f>
        <v>77000</v>
      </c>
      <c r="P57" s="49">
        <f>Nordfyn!J58</f>
        <v>177480</v>
      </c>
      <c r="Q57" s="49">
        <f>Kerteminde!J58</f>
        <v>78840</v>
      </c>
      <c r="R57" s="49">
        <f>'Særlige tilskud'!J58</f>
        <v>0</v>
      </c>
    </row>
    <row r="58" spans="1:18" x14ac:dyDescent="0.25">
      <c r="A58" s="43" t="s">
        <v>89</v>
      </c>
      <c r="B58" s="43" t="s">
        <v>17</v>
      </c>
      <c r="C58" s="46">
        <v>3310489.05</v>
      </c>
      <c r="D58" s="46">
        <v>5639295.6699999999</v>
      </c>
      <c r="E58" s="46">
        <v>41.3</v>
      </c>
      <c r="F58" s="46">
        <v>58.7</v>
      </c>
      <c r="G58" s="46">
        <v>2328806.62</v>
      </c>
      <c r="H58" s="50">
        <v>5844287.0500000007</v>
      </c>
      <c r="I58" s="50">
        <f t="shared" si="0"/>
        <v>5462043.4000000004</v>
      </c>
      <c r="K58" s="50">
        <f>'Fælles adm.'!J59</f>
        <v>0</v>
      </c>
      <c r="L58" s="50">
        <f>Odense!J59</f>
        <v>560073.6</v>
      </c>
      <c r="M58" s="50">
        <f>Laks!J59</f>
        <v>3041500</v>
      </c>
      <c r="N58" s="50">
        <f>Assens!J59</f>
        <v>753196.8</v>
      </c>
      <c r="O58" s="50">
        <f>Nyborg!J59</f>
        <v>152000</v>
      </c>
      <c r="P58" s="50">
        <f>Nordfyn!J59</f>
        <v>667612</v>
      </c>
      <c r="Q58" s="50">
        <f>Kerteminde!J59</f>
        <v>287661</v>
      </c>
      <c r="R58" s="50">
        <f>'Særlige tilskud'!J59</f>
        <v>0</v>
      </c>
    </row>
    <row r="59" spans="1:18" x14ac:dyDescent="0.25">
      <c r="A59" s="42" t="s">
        <v>12</v>
      </c>
      <c r="B59" s="42" t="s">
        <v>12</v>
      </c>
      <c r="H59" s="49"/>
      <c r="I59" s="49">
        <f t="shared" si="0"/>
        <v>0</v>
      </c>
      <c r="K59" s="49">
        <f>'Fælles adm.'!J60</f>
        <v>0</v>
      </c>
      <c r="L59" s="49">
        <f>Odense!J60</f>
        <v>0</v>
      </c>
      <c r="M59" s="49">
        <f>Laks!J60</f>
        <v>0</v>
      </c>
      <c r="N59" s="49">
        <f>Assens!J60</f>
        <v>0</v>
      </c>
      <c r="O59" s="49">
        <f>Nyborg!J60</f>
        <v>0</v>
      </c>
      <c r="P59" s="49">
        <f>Nordfyn!J60</f>
        <v>0</v>
      </c>
      <c r="Q59" s="49">
        <f>Kerteminde!J60</f>
        <v>0</v>
      </c>
      <c r="R59" s="49">
        <f>'Særlige tilskud'!J60</f>
        <v>0</v>
      </c>
    </row>
    <row r="60" spans="1:18" x14ac:dyDescent="0.25">
      <c r="A60" s="43" t="s">
        <v>90</v>
      </c>
      <c r="B60" s="43" t="s">
        <v>91</v>
      </c>
      <c r="C60" s="46"/>
      <c r="D60" s="46"/>
      <c r="E60" s="46"/>
      <c r="F60" s="46"/>
      <c r="G60" s="46"/>
      <c r="H60" s="50"/>
      <c r="I60" s="50">
        <f t="shared" si="0"/>
        <v>0</v>
      </c>
      <c r="K60" s="50">
        <f>'Fælles adm.'!J61</f>
        <v>0</v>
      </c>
      <c r="L60" s="50">
        <f>Odense!J61</f>
        <v>0</v>
      </c>
      <c r="M60" s="50">
        <f>Laks!J61</f>
        <v>0</v>
      </c>
      <c r="N60" s="50">
        <f>Assens!J61</f>
        <v>0</v>
      </c>
      <c r="O60" s="50">
        <f>Nyborg!J61</f>
        <v>0</v>
      </c>
      <c r="P60" s="50">
        <f>Nordfyn!J61</f>
        <v>0</v>
      </c>
      <c r="Q60" s="50">
        <f>Kerteminde!J61</f>
        <v>0</v>
      </c>
      <c r="R60" s="50">
        <f>'Særlige tilskud'!J61</f>
        <v>0</v>
      </c>
    </row>
    <row r="61" spans="1:18" x14ac:dyDescent="0.25">
      <c r="A61" s="42" t="s">
        <v>92</v>
      </c>
      <c r="B61" s="42" t="s">
        <v>93</v>
      </c>
      <c r="C61" s="45">
        <v>362884.2</v>
      </c>
      <c r="G61" s="45">
        <v>-362884.2</v>
      </c>
      <c r="H61" s="49">
        <v>698365.85000000009</v>
      </c>
      <c r="I61" s="49">
        <f t="shared" si="0"/>
        <v>693721.35000000009</v>
      </c>
      <c r="K61" s="49">
        <f>'Fælles adm.'!J62</f>
        <v>0</v>
      </c>
      <c r="L61" s="49">
        <f>Odense!J62</f>
        <v>469392</v>
      </c>
      <c r="M61" s="49">
        <f>Laks!J62</f>
        <v>0</v>
      </c>
      <c r="N61" s="49">
        <f>Assens!J62</f>
        <v>0</v>
      </c>
      <c r="O61" s="49">
        <f>Nyborg!J62</f>
        <v>22758.05</v>
      </c>
      <c r="P61" s="49">
        <f>Nordfyn!J62</f>
        <v>51089.5</v>
      </c>
      <c r="Q61" s="49">
        <f>Kerteminde!J62</f>
        <v>150481.79999999999</v>
      </c>
      <c r="R61" s="49">
        <f>'Særlige tilskud'!J62</f>
        <v>0</v>
      </c>
    </row>
    <row r="62" spans="1:18" x14ac:dyDescent="0.25">
      <c r="A62" s="43" t="s">
        <v>94</v>
      </c>
      <c r="B62" s="43" t="s">
        <v>95</v>
      </c>
      <c r="C62" s="46">
        <v>362884.2</v>
      </c>
      <c r="D62" s="46"/>
      <c r="E62" s="46"/>
      <c r="F62" s="46"/>
      <c r="G62" s="46">
        <v>-362884.2</v>
      </c>
      <c r="H62" s="5">
        <v>698365.85000000009</v>
      </c>
      <c r="I62" s="5">
        <f t="shared" si="0"/>
        <v>693721.35000000009</v>
      </c>
      <c r="K62" s="5">
        <f>'Fælles adm.'!J63</f>
        <v>0</v>
      </c>
      <c r="L62" s="5">
        <f>Odense!J63</f>
        <v>469392</v>
      </c>
      <c r="M62" s="5">
        <f>Laks!J63</f>
        <v>0</v>
      </c>
      <c r="N62" s="5">
        <f>Assens!J63</f>
        <v>0</v>
      </c>
      <c r="O62" s="5">
        <f>Nyborg!J63</f>
        <v>22758.05</v>
      </c>
      <c r="P62" s="5">
        <f>Nordfyn!J63</f>
        <v>51089.5</v>
      </c>
      <c r="Q62" s="5">
        <f>Kerteminde!J63</f>
        <v>150481.79999999999</v>
      </c>
      <c r="R62" s="5">
        <f>'Særlige tilskud'!J63</f>
        <v>0</v>
      </c>
    </row>
    <row r="63" spans="1:18" x14ac:dyDescent="0.25">
      <c r="A63" s="42" t="s">
        <v>12</v>
      </c>
      <c r="B63" s="42" t="s">
        <v>12</v>
      </c>
      <c r="H63" s="48"/>
      <c r="I63" s="48">
        <f t="shared" si="0"/>
        <v>0</v>
      </c>
      <c r="K63" s="48">
        <f>'Fælles adm.'!J64</f>
        <v>0</v>
      </c>
      <c r="L63" s="48">
        <f>Odense!J64</f>
        <v>0</v>
      </c>
      <c r="M63" s="48">
        <f>Laks!J64</f>
        <v>0</v>
      </c>
      <c r="N63" s="48">
        <f>Assens!J64</f>
        <v>0</v>
      </c>
      <c r="O63" s="48">
        <f>Nyborg!J64</f>
        <v>0</v>
      </c>
      <c r="P63" s="48">
        <f>Nordfyn!J64</f>
        <v>0</v>
      </c>
      <c r="Q63" s="48">
        <f>Kerteminde!J64</f>
        <v>0</v>
      </c>
      <c r="R63" s="48">
        <f>'Særlige tilskud'!J64</f>
        <v>0</v>
      </c>
    </row>
    <row r="64" spans="1:18" x14ac:dyDescent="0.25">
      <c r="A64" s="43" t="s">
        <v>96</v>
      </c>
      <c r="B64" s="43" t="s">
        <v>97</v>
      </c>
      <c r="C64" s="46">
        <v>50249834.020000003</v>
      </c>
      <c r="D64" s="46">
        <v>96587272.180000007</v>
      </c>
      <c r="E64" s="46">
        <v>47.97</v>
      </c>
      <c r="F64" s="46">
        <v>52.03</v>
      </c>
      <c r="G64" s="46">
        <v>46337438.159999996</v>
      </c>
      <c r="H64" s="5">
        <v>86063854.460000008</v>
      </c>
      <c r="I64" s="5">
        <f t="shared" si="0"/>
        <v>76876598.75</v>
      </c>
      <c r="K64" s="5">
        <f>'Fælles adm.'!J65</f>
        <v>2226850</v>
      </c>
      <c r="L64" s="5">
        <f>Odense!J65</f>
        <v>24693117.600000001</v>
      </c>
      <c r="M64" s="5">
        <f>Laks!J65</f>
        <v>3041500</v>
      </c>
      <c r="N64" s="5">
        <f>Assens!J65</f>
        <v>11031008.800000001</v>
      </c>
      <c r="O64" s="5">
        <f>Nyborg!J65</f>
        <v>11261891.050000001</v>
      </c>
      <c r="P64" s="5">
        <f>Nordfyn!J65</f>
        <v>11991720.5</v>
      </c>
      <c r="Q64" s="5">
        <f>Kerteminde!J65</f>
        <v>10630510.800000001</v>
      </c>
      <c r="R64" s="5">
        <f>'Særlige tilskud'!J65</f>
        <v>2000000</v>
      </c>
    </row>
    <row r="65" spans="1:18" x14ac:dyDescent="0.25">
      <c r="A65" s="42" t="s">
        <v>12</v>
      </c>
      <c r="B65" s="42" t="s">
        <v>12</v>
      </c>
      <c r="H65" s="48"/>
      <c r="I65" s="48">
        <f t="shared" si="0"/>
        <v>0</v>
      </c>
      <c r="K65" s="48">
        <f>'Fælles adm.'!J66</f>
        <v>0</v>
      </c>
      <c r="L65" s="48">
        <f>Odense!J66</f>
        <v>0</v>
      </c>
      <c r="M65" s="48">
        <f>Laks!J66</f>
        <v>0</v>
      </c>
      <c r="N65" s="48">
        <f>Assens!J66</f>
        <v>0</v>
      </c>
      <c r="O65" s="48">
        <f>Nyborg!J66</f>
        <v>0</v>
      </c>
      <c r="P65" s="48">
        <f>Nordfyn!J66</f>
        <v>0</v>
      </c>
      <c r="Q65" s="48">
        <f>Kerteminde!J66</f>
        <v>0</v>
      </c>
      <c r="R65" s="48">
        <f>'Særlige tilskud'!J66</f>
        <v>0</v>
      </c>
    </row>
    <row r="66" spans="1:18" x14ac:dyDescent="0.25">
      <c r="A66" s="43" t="s">
        <v>98</v>
      </c>
      <c r="B66" s="43" t="s">
        <v>99</v>
      </c>
      <c r="C66" s="46"/>
      <c r="D66" s="46"/>
      <c r="E66" s="46"/>
      <c r="F66" s="46"/>
      <c r="G66" s="46"/>
      <c r="H66" s="5"/>
      <c r="I66" s="5">
        <f t="shared" si="0"/>
        <v>0</v>
      </c>
      <c r="K66" s="5">
        <f>'Fælles adm.'!J67</f>
        <v>0</v>
      </c>
      <c r="L66" s="5">
        <f>Odense!J67</f>
        <v>0</v>
      </c>
      <c r="M66" s="5">
        <f>Laks!J67</f>
        <v>0</v>
      </c>
      <c r="N66" s="5">
        <f>Assens!J67</f>
        <v>0</v>
      </c>
      <c r="O66" s="5">
        <f>Nyborg!J67</f>
        <v>0</v>
      </c>
      <c r="P66" s="5">
        <f>Nordfyn!J67</f>
        <v>0</v>
      </c>
      <c r="Q66" s="5">
        <f>Kerteminde!J67</f>
        <v>0</v>
      </c>
      <c r="R66" s="5">
        <f>'Særlige tilskud'!J67</f>
        <v>0</v>
      </c>
    </row>
    <row r="67" spans="1:18" x14ac:dyDescent="0.25">
      <c r="A67" s="42" t="s">
        <v>100</v>
      </c>
      <c r="B67" s="42" t="s">
        <v>101</v>
      </c>
      <c r="H67" s="48">
        <v>0</v>
      </c>
      <c r="I67" s="48">
        <f t="shared" si="0"/>
        <v>0</v>
      </c>
      <c r="K67" s="48">
        <f>'Fælles adm.'!J68</f>
        <v>0</v>
      </c>
      <c r="L67" s="48">
        <f>Odense!J68</f>
        <v>0</v>
      </c>
      <c r="M67" s="48">
        <f>Laks!J68</f>
        <v>0</v>
      </c>
      <c r="N67" s="48">
        <f>Assens!J68</f>
        <v>0</v>
      </c>
      <c r="O67" s="48">
        <f>Nyborg!J68</f>
        <v>0</v>
      </c>
      <c r="P67" s="48">
        <f>Nordfyn!J68</f>
        <v>0</v>
      </c>
      <c r="Q67" s="48">
        <f>Kerteminde!J68</f>
        <v>0</v>
      </c>
      <c r="R67" s="48">
        <f>'Særlige tilskud'!J68</f>
        <v>0</v>
      </c>
    </row>
    <row r="68" spans="1:18" x14ac:dyDescent="0.25">
      <c r="A68" s="42" t="s">
        <v>102</v>
      </c>
      <c r="B68" s="42" t="s">
        <v>103</v>
      </c>
      <c r="H68" s="48">
        <v>0</v>
      </c>
      <c r="I68" s="48">
        <f t="shared" si="0"/>
        <v>0</v>
      </c>
      <c r="K68" s="48">
        <f>'Fælles adm.'!J69</f>
        <v>0</v>
      </c>
      <c r="L68" s="48">
        <f>Odense!J69</f>
        <v>0</v>
      </c>
      <c r="M68" s="48">
        <f>Laks!J69</f>
        <v>0</v>
      </c>
      <c r="N68" s="48">
        <f>Assens!J69</f>
        <v>0</v>
      </c>
      <c r="O68" s="48">
        <f>Nyborg!J69</f>
        <v>0</v>
      </c>
      <c r="P68" s="48">
        <f>Nordfyn!J69</f>
        <v>0</v>
      </c>
      <c r="Q68" s="48">
        <f>Kerteminde!J69</f>
        <v>0</v>
      </c>
      <c r="R68" s="48">
        <f>'Særlige tilskud'!J69</f>
        <v>0</v>
      </c>
    </row>
    <row r="69" spans="1:18" x14ac:dyDescent="0.25">
      <c r="A69" s="43" t="s">
        <v>104</v>
      </c>
      <c r="B69" s="43" t="s">
        <v>105</v>
      </c>
      <c r="C69" s="46"/>
      <c r="D69" s="46"/>
      <c r="E69" s="46"/>
      <c r="F69" s="46"/>
      <c r="G69" s="46"/>
      <c r="H69" s="5">
        <v>0</v>
      </c>
      <c r="I69" s="5">
        <f t="shared" si="0"/>
        <v>0</v>
      </c>
      <c r="K69" s="5">
        <f>'Fælles adm.'!J70</f>
        <v>0</v>
      </c>
      <c r="L69" s="5">
        <f>Odense!J70</f>
        <v>0</v>
      </c>
      <c r="M69" s="5">
        <f>Laks!J70</f>
        <v>0</v>
      </c>
      <c r="N69" s="5">
        <f>Assens!J70</f>
        <v>0</v>
      </c>
      <c r="O69" s="5">
        <f>Nyborg!J70</f>
        <v>0</v>
      </c>
      <c r="P69" s="5">
        <f>Nordfyn!J70</f>
        <v>0</v>
      </c>
      <c r="Q69" s="5">
        <f>Kerteminde!J70</f>
        <v>0</v>
      </c>
      <c r="R69" s="5">
        <f>'Særlige tilskud'!J70</f>
        <v>0</v>
      </c>
    </row>
    <row r="70" spans="1:18" x14ac:dyDescent="0.25">
      <c r="A70" s="42" t="s">
        <v>12</v>
      </c>
      <c r="B70" s="42" t="s">
        <v>12</v>
      </c>
      <c r="H70" s="48"/>
      <c r="I70" s="48">
        <f t="shared" si="0"/>
        <v>0</v>
      </c>
      <c r="K70" s="48">
        <f>'Fælles adm.'!J71</f>
        <v>0</v>
      </c>
      <c r="L70" s="48">
        <f>Odense!J71</f>
        <v>0</v>
      </c>
      <c r="M70" s="48">
        <f>Laks!J71</f>
        <v>0</v>
      </c>
      <c r="N70" s="48">
        <f>Assens!J71</f>
        <v>0</v>
      </c>
      <c r="O70" s="48">
        <f>Nyborg!J71</f>
        <v>0</v>
      </c>
      <c r="P70" s="48">
        <f>Nordfyn!J71</f>
        <v>0</v>
      </c>
      <c r="Q70" s="48">
        <f>Kerteminde!J71</f>
        <v>0</v>
      </c>
      <c r="R70" s="48">
        <f>'Særlige tilskud'!J71</f>
        <v>0</v>
      </c>
    </row>
    <row r="71" spans="1:18" x14ac:dyDescent="0.25">
      <c r="A71" s="43" t="s">
        <v>106</v>
      </c>
      <c r="B71" s="43" t="s">
        <v>107</v>
      </c>
      <c r="C71" s="46"/>
      <c r="D71" s="46"/>
      <c r="E71" s="46"/>
      <c r="F71" s="46"/>
      <c r="G71" s="46"/>
      <c r="H71" s="5"/>
      <c r="I71" s="5">
        <f t="shared" si="0"/>
        <v>0</v>
      </c>
      <c r="K71" s="5">
        <f>'Fælles adm.'!J72</f>
        <v>0</v>
      </c>
      <c r="L71" s="5">
        <f>Odense!J72</f>
        <v>0</v>
      </c>
      <c r="M71" s="5">
        <f>Laks!J72</f>
        <v>0</v>
      </c>
      <c r="N71" s="5">
        <f>Assens!J72</f>
        <v>0</v>
      </c>
      <c r="O71" s="5">
        <f>Nyborg!J72</f>
        <v>0</v>
      </c>
      <c r="P71" s="5">
        <f>Nordfyn!J72</f>
        <v>0</v>
      </c>
      <c r="Q71" s="5">
        <f>Kerteminde!J72</f>
        <v>0</v>
      </c>
      <c r="R71" s="5">
        <f>'Særlige tilskud'!J72</f>
        <v>0</v>
      </c>
    </row>
    <row r="72" spans="1:18" x14ac:dyDescent="0.25">
      <c r="A72" s="42" t="s">
        <v>108</v>
      </c>
      <c r="B72" s="42" t="s">
        <v>109</v>
      </c>
      <c r="C72" s="45">
        <v>-67991</v>
      </c>
      <c r="D72" s="45">
        <v>-518200</v>
      </c>
      <c r="E72" s="45">
        <v>86.88</v>
      </c>
      <c r="F72" s="45">
        <v>13.12</v>
      </c>
      <c r="G72" s="45">
        <v>-450209</v>
      </c>
      <c r="H72" s="48">
        <v>-140000</v>
      </c>
      <c r="I72" s="48">
        <f t="shared" si="0"/>
        <v>-140000</v>
      </c>
      <c r="K72" s="48">
        <f>'Fælles adm.'!J73</f>
        <v>0</v>
      </c>
      <c r="L72" s="48">
        <f>Odense!J73</f>
        <v>0</v>
      </c>
      <c r="M72" s="48">
        <f>Laks!J73</f>
        <v>0</v>
      </c>
      <c r="N72" s="48">
        <f>Assens!J73</f>
        <v>0</v>
      </c>
      <c r="O72" s="48">
        <f>Nyborg!J73</f>
        <v>-140000</v>
      </c>
      <c r="P72" s="48">
        <f>Nordfyn!J73</f>
        <v>0</v>
      </c>
      <c r="Q72" s="48">
        <f>Kerteminde!J73</f>
        <v>0</v>
      </c>
      <c r="R72" s="48">
        <f>'Særlige tilskud'!J73</f>
        <v>0</v>
      </c>
    </row>
    <row r="73" spans="1:18" x14ac:dyDescent="0.25">
      <c r="A73" s="42" t="s">
        <v>110</v>
      </c>
      <c r="B73" s="42" t="s">
        <v>111</v>
      </c>
      <c r="C73" s="45">
        <v>-22937.919999999998</v>
      </c>
      <c r="G73" s="45">
        <v>22937.919999999998</v>
      </c>
      <c r="H73" s="48">
        <v>-22937.919999999998</v>
      </c>
      <c r="I73" s="48">
        <f t="shared" si="0"/>
        <v>-22937.919999999998</v>
      </c>
      <c r="K73" s="48">
        <f>'Fælles adm.'!J74</f>
        <v>0</v>
      </c>
      <c r="L73" s="48">
        <f>Odense!J74</f>
        <v>-10796.67</v>
      </c>
      <c r="M73" s="48">
        <f>Laks!J74</f>
        <v>0</v>
      </c>
      <c r="N73" s="48">
        <f>Assens!J74</f>
        <v>0</v>
      </c>
      <c r="O73" s="48">
        <f>Nyborg!J74</f>
        <v>-12141.25</v>
      </c>
      <c r="P73" s="48">
        <f>Nordfyn!J74</f>
        <v>0</v>
      </c>
      <c r="Q73" s="48">
        <f>Kerteminde!J74</f>
        <v>0</v>
      </c>
      <c r="R73" s="48">
        <f>'Særlige tilskud'!J74</f>
        <v>0</v>
      </c>
    </row>
    <row r="74" spans="1:18" x14ac:dyDescent="0.25">
      <c r="A74" s="42" t="s">
        <v>112</v>
      </c>
      <c r="B74" s="42" t="s">
        <v>113</v>
      </c>
      <c r="C74" s="45">
        <v>-32724</v>
      </c>
      <c r="D74" s="45">
        <v>-37660</v>
      </c>
      <c r="E74" s="45">
        <v>13.11</v>
      </c>
      <c r="F74" s="45">
        <v>86.89</v>
      </c>
      <c r="G74" s="45">
        <v>-4936</v>
      </c>
      <c r="H74" s="48">
        <v>-51554</v>
      </c>
      <c r="I74" s="48">
        <f t="shared" si="0"/>
        <v>-51554</v>
      </c>
      <c r="K74" s="48">
        <f>'Fælles adm.'!J75</f>
        <v>0</v>
      </c>
      <c r="L74" s="48">
        <f>Odense!J75</f>
        <v>0</v>
      </c>
      <c r="M74" s="48">
        <f>Laks!J75</f>
        <v>0</v>
      </c>
      <c r="N74" s="48">
        <f>Assens!J75</f>
        <v>0</v>
      </c>
      <c r="O74" s="48">
        <f>Nyborg!J75</f>
        <v>-9713</v>
      </c>
      <c r="P74" s="48">
        <f>Nordfyn!J75</f>
        <v>-4181</v>
      </c>
      <c r="Q74" s="48">
        <f>Kerteminde!J75</f>
        <v>-37660</v>
      </c>
      <c r="R74" s="48">
        <f>'Særlige tilskud'!J75</f>
        <v>0</v>
      </c>
    </row>
    <row r="75" spans="1:18" x14ac:dyDescent="0.25">
      <c r="A75" s="42" t="s">
        <v>114</v>
      </c>
      <c r="B75" s="42" t="s">
        <v>115</v>
      </c>
      <c r="C75" s="45">
        <v>-335577.22</v>
      </c>
      <c r="D75" s="45">
        <v>-495746</v>
      </c>
      <c r="E75" s="45">
        <v>32.31</v>
      </c>
      <c r="F75" s="45">
        <v>67.69</v>
      </c>
      <c r="G75" s="45">
        <v>-160168.78</v>
      </c>
      <c r="H75" s="48">
        <v>-647773.89</v>
      </c>
      <c r="I75" s="48">
        <f t="shared" ref="I75:I138" si="1">SUM(K75:R75)</f>
        <v>-636390.05000000005</v>
      </c>
      <c r="K75" s="48">
        <f>'Fælles adm.'!J76</f>
        <v>0</v>
      </c>
      <c r="L75" s="48">
        <f>Odense!J76</f>
        <v>-2748.2</v>
      </c>
      <c r="M75" s="48">
        <f>Laks!J76</f>
        <v>-5496.4</v>
      </c>
      <c r="N75" s="48">
        <f>Assens!J76</f>
        <v>-168399.45</v>
      </c>
      <c r="O75" s="48">
        <f>Nyborg!J76</f>
        <v>-5000</v>
      </c>
      <c r="P75" s="48">
        <f>Nordfyn!J76</f>
        <v>-309146</v>
      </c>
      <c r="Q75" s="48">
        <f>Kerteminde!J76</f>
        <v>-145600</v>
      </c>
      <c r="R75" s="48">
        <f>'Særlige tilskud'!J76</f>
        <v>0</v>
      </c>
    </row>
    <row r="76" spans="1:18" x14ac:dyDescent="0.25">
      <c r="A76" s="43" t="s">
        <v>116</v>
      </c>
      <c r="B76" s="43" t="s">
        <v>117</v>
      </c>
      <c r="C76" s="46">
        <v>-459230.14</v>
      </c>
      <c r="D76" s="46">
        <v>-1051606</v>
      </c>
      <c r="E76" s="46">
        <v>56.33</v>
      </c>
      <c r="F76" s="46">
        <v>43.67</v>
      </c>
      <c r="G76" s="46">
        <v>-592375.86</v>
      </c>
      <c r="H76" s="5">
        <v>-862265.81</v>
      </c>
      <c r="I76" s="5">
        <f t="shared" si="1"/>
        <v>-850881.97</v>
      </c>
      <c r="K76" s="5">
        <f>'Fælles adm.'!J77</f>
        <v>0</v>
      </c>
      <c r="L76" s="5">
        <f>Odense!J77</f>
        <v>-13544.869999999999</v>
      </c>
      <c r="M76" s="5">
        <f>Laks!J77</f>
        <v>-5496.4</v>
      </c>
      <c r="N76" s="5">
        <f>Assens!J77</f>
        <v>-168399.45</v>
      </c>
      <c r="O76" s="5">
        <f>Nyborg!J77</f>
        <v>-166854.25</v>
      </c>
      <c r="P76" s="5">
        <f>Nordfyn!J77</f>
        <v>-313327</v>
      </c>
      <c r="Q76" s="5">
        <f>Kerteminde!J77</f>
        <v>-183260</v>
      </c>
      <c r="R76" s="5">
        <f>'Særlige tilskud'!J77</f>
        <v>0</v>
      </c>
    </row>
    <row r="77" spans="1:18" x14ac:dyDescent="0.25">
      <c r="A77" s="42" t="s">
        <v>12</v>
      </c>
      <c r="B77" s="42" t="s">
        <v>12</v>
      </c>
      <c r="H77" s="48"/>
      <c r="I77" s="48">
        <f t="shared" si="1"/>
        <v>0</v>
      </c>
      <c r="K77" s="48">
        <f>'Fælles adm.'!J78</f>
        <v>0</v>
      </c>
      <c r="L77" s="48">
        <f>Odense!J78</f>
        <v>0</v>
      </c>
      <c r="M77" s="48">
        <f>Laks!J78</f>
        <v>0</v>
      </c>
      <c r="N77" s="48">
        <f>Assens!J78</f>
        <v>0</v>
      </c>
      <c r="O77" s="48">
        <f>Nyborg!J78</f>
        <v>0</v>
      </c>
      <c r="P77" s="48">
        <f>Nordfyn!J78</f>
        <v>0</v>
      </c>
      <c r="Q77" s="48">
        <f>Kerteminde!J78</f>
        <v>0</v>
      </c>
      <c r="R77" s="48">
        <f>'Særlige tilskud'!J78</f>
        <v>0</v>
      </c>
    </row>
    <row r="78" spans="1:18" x14ac:dyDescent="0.25">
      <c r="A78" s="43" t="s">
        <v>118</v>
      </c>
      <c r="B78" s="43" t="s">
        <v>119</v>
      </c>
      <c r="C78" s="46"/>
      <c r="D78" s="46"/>
      <c r="E78" s="46"/>
      <c r="F78" s="46"/>
      <c r="G78" s="46"/>
      <c r="H78" s="5"/>
      <c r="I78" s="5">
        <f t="shared" si="1"/>
        <v>0</v>
      </c>
      <c r="K78" s="5">
        <f>'Fælles adm.'!J79</f>
        <v>0</v>
      </c>
      <c r="L78" s="5">
        <f>Odense!J79</f>
        <v>0</v>
      </c>
      <c r="M78" s="5">
        <f>Laks!J79</f>
        <v>0</v>
      </c>
      <c r="N78" s="5">
        <f>Assens!J79</f>
        <v>0</v>
      </c>
      <c r="O78" s="5">
        <f>Nyborg!J79</f>
        <v>0</v>
      </c>
      <c r="P78" s="5">
        <f>Nordfyn!J79</f>
        <v>0</v>
      </c>
      <c r="Q78" s="5">
        <f>Kerteminde!J79</f>
        <v>0</v>
      </c>
      <c r="R78" s="5">
        <f>'Særlige tilskud'!J79</f>
        <v>0</v>
      </c>
    </row>
    <row r="79" spans="1:18" x14ac:dyDescent="0.25">
      <c r="A79" s="42" t="s">
        <v>120</v>
      </c>
      <c r="B79" s="42" t="s">
        <v>121</v>
      </c>
      <c r="H79" s="48">
        <v>0</v>
      </c>
      <c r="I79" s="48">
        <f t="shared" si="1"/>
        <v>0</v>
      </c>
      <c r="K79" s="48">
        <f>'Fælles adm.'!J80</f>
        <v>0</v>
      </c>
      <c r="L79" s="48">
        <f>Odense!J80</f>
        <v>0</v>
      </c>
      <c r="M79" s="48">
        <f>Laks!J80</f>
        <v>0</v>
      </c>
      <c r="N79" s="48">
        <f>Assens!J80</f>
        <v>0</v>
      </c>
      <c r="O79" s="48">
        <f>Nyborg!J80</f>
        <v>0</v>
      </c>
      <c r="P79" s="48">
        <f>Nordfyn!J80</f>
        <v>0</v>
      </c>
      <c r="Q79" s="48">
        <f>Kerteminde!J80</f>
        <v>0</v>
      </c>
      <c r="R79" s="48">
        <f>'Særlige tilskud'!J80</f>
        <v>0</v>
      </c>
    </row>
    <row r="80" spans="1:18" x14ac:dyDescent="0.25">
      <c r="A80" s="42" t="s">
        <v>122</v>
      </c>
      <c r="B80" s="42" t="s">
        <v>123</v>
      </c>
      <c r="H80" s="48">
        <v>0</v>
      </c>
      <c r="I80" s="48">
        <f t="shared" si="1"/>
        <v>0</v>
      </c>
      <c r="K80" s="48">
        <f>'Fælles adm.'!J81</f>
        <v>0</v>
      </c>
      <c r="L80" s="48">
        <f>Odense!J81</f>
        <v>0</v>
      </c>
      <c r="M80" s="48">
        <f>Laks!J81</f>
        <v>0</v>
      </c>
      <c r="N80" s="48">
        <f>Assens!J81</f>
        <v>0</v>
      </c>
      <c r="O80" s="48">
        <f>Nyborg!J81</f>
        <v>0</v>
      </c>
      <c r="P80" s="48">
        <f>Nordfyn!J81</f>
        <v>0</v>
      </c>
      <c r="Q80" s="48">
        <f>Kerteminde!J81</f>
        <v>0</v>
      </c>
      <c r="R80" s="48">
        <f>'Særlige tilskud'!J81</f>
        <v>0</v>
      </c>
    </row>
    <row r="81" spans="1:18" x14ac:dyDescent="0.25">
      <c r="A81" s="43" t="s">
        <v>124</v>
      </c>
      <c r="B81" s="43" t="s">
        <v>125</v>
      </c>
      <c r="C81" s="46"/>
      <c r="D81" s="46"/>
      <c r="E81" s="46"/>
      <c r="F81" s="46"/>
      <c r="G81" s="46"/>
      <c r="H81" s="5">
        <v>0</v>
      </c>
      <c r="I81" s="5">
        <f t="shared" si="1"/>
        <v>0</v>
      </c>
      <c r="K81" s="5">
        <f>'Fælles adm.'!J82</f>
        <v>0</v>
      </c>
      <c r="L81" s="5">
        <f>Odense!J82</f>
        <v>0</v>
      </c>
      <c r="M81" s="5">
        <f>Laks!J82</f>
        <v>0</v>
      </c>
      <c r="N81" s="5">
        <f>Assens!J82</f>
        <v>0</v>
      </c>
      <c r="O81" s="5">
        <f>Nyborg!J82</f>
        <v>0</v>
      </c>
      <c r="P81" s="5">
        <f>Nordfyn!J82</f>
        <v>0</v>
      </c>
      <c r="Q81" s="5">
        <f>Kerteminde!J82</f>
        <v>0</v>
      </c>
      <c r="R81" s="5">
        <f>'Særlige tilskud'!J82</f>
        <v>0</v>
      </c>
    </row>
    <row r="82" spans="1:18" x14ac:dyDescent="0.25">
      <c r="A82" s="42" t="s">
        <v>12</v>
      </c>
      <c r="B82" s="42" t="s">
        <v>12</v>
      </c>
      <c r="H82" s="48"/>
      <c r="I82" s="48">
        <f t="shared" si="1"/>
        <v>0</v>
      </c>
      <c r="K82" s="48">
        <f>'Fælles adm.'!J83</f>
        <v>0</v>
      </c>
      <c r="L82" s="48">
        <f>Odense!J83</f>
        <v>0</v>
      </c>
      <c r="M82" s="48">
        <f>Laks!J83</f>
        <v>0</v>
      </c>
      <c r="N82" s="48">
        <f>Assens!J83</f>
        <v>0</v>
      </c>
      <c r="O82" s="48">
        <f>Nyborg!J83</f>
        <v>0</v>
      </c>
      <c r="P82" s="48">
        <f>Nordfyn!J83</f>
        <v>0</v>
      </c>
      <c r="Q82" s="48">
        <f>Kerteminde!J83</f>
        <v>0</v>
      </c>
      <c r="R82" s="48">
        <f>'Særlige tilskud'!J83</f>
        <v>0</v>
      </c>
    </row>
    <row r="83" spans="1:18" x14ac:dyDescent="0.25">
      <c r="A83" s="43" t="s">
        <v>126</v>
      </c>
      <c r="B83" s="43" t="s">
        <v>30</v>
      </c>
      <c r="C83" s="46"/>
      <c r="D83" s="46"/>
      <c r="E83" s="46"/>
      <c r="F83" s="46"/>
      <c r="G83" s="46"/>
      <c r="H83" s="5"/>
      <c r="I83" s="5">
        <f t="shared" si="1"/>
        <v>0</v>
      </c>
      <c r="K83" s="5">
        <f>'Fælles adm.'!J84</f>
        <v>0</v>
      </c>
      <c r="L83" s="5">
        <f>Odense!J84</f>
        <v>0</v>
      </c>
      <c r="M83" s="5">
        <f>Laks!J84</f>
        <v>0</v>
      </c>
      <c r="N83" s="5">
        <f>Assens!J84</f>
        <v>0</v>
      </c>
      <c r="O83" s="5">
        <f>Nyborg!J84</f>
        <v>0</v>
      </c>
      <c r="P83" s="5">
        <f>Nordfyn!J84</f>
        <v>0</v>
      </c>
      <c r="Q83" s="5">
        <f>Kerteminde!J84</f>
        <v>0</v>
      </c>
      <c r="R83" s="5">
        <f>'Særlige tilskud'!J84</f>
        <v>0</v>
      </c>
    </row>
    <row r="84" spans="1:18" x14ac:dyDescent="0.25">
      <c r="A84" s="42" t="s">
        <v>127</v>
      </c>
      <c r="B84" s="42" t="s">
        <v>128</v>
      </c>
      <c r="H84" s="48">
        <v>0</v>
      </c>
      <c r="I84" s="48">
        <f t="shared" si="1"/>
        <v>0</v>
      </c>
      <c r="K84" s="48">
        <f>'Fælles adm.'!J85</f>
        <v>0</v>
      </c>
      <c r="L84" s="48">
        <f>Odense!J85</f>
        <v>0</v>
      </c>
      <c r="M84" s="48">
        <f>Laks!J85</f>
        <v>0</v>
      </c>
      <c r="N84" s="48">
        <f>Assens!J85</f>
        <v>0</v>
      </c>
      <c r="O84" s="48">
        <f>Nyborg!J85</f>
        <v>0</v>
      </c>
      <c r="P84" s="48">
        <f>Nordfyn!J85</f>
        <v>0</v>
      </c>
      <c r="Q84" s="48">
        <f>Kerteminde!J85</f>
        <v>0</v>
      </c>
      <c r="R84" s="48">
        <f>'Særlige tilskud'!J85</f>
        <v>0</v>
      </c>
    </row>
    <row r="85" spans="1:18" x14ac:dyDescent="0.25">
      <c r="A85" s="42" t="s">
        <v>129</v>
      </c>
      <c r="B85" s="42" t="s">
        <v>130</v>
      </c>
      <c r="C85" s="45">
        <v>-447361.2</v>
      </c>
      <c r="D85" s="45">
        <v>-1042434.9</v>
      </c>
      <c r="E85" s="45">
        <v>57.08</v>
      </c>
      <c r="F85" s="45">
        <v>42.92</v>
      </c>
      <c r="G85" s="45">
        <v>-595073.69999999995</v>
      </c>
      <c r="H85" s="48">
        <v>-894722.4</v>
      </c>
      <c r="I85" s="48">
        <f t="shared" si="1"/>
        <v>-894722.4</v>
      </c>
      <c r="K85" s="48">
        <f>'Fælles adm.'!J86</f>
        <v>-894722.4</v>
      </c>
      <c r="L85" s="48">
        <f>Odense!J86</f>
        <v>0</v>
      </c>
      <c r="M85" s="48">
        <f>Laks!J86</f>
        <v>0</v>
      </c>
      <c r="N85" s="48">
        <f>Assens!J86</f>
        <v>0</v>
      </c>
      <c r="O85" s="48">
        <f>Nyborg!J86</f>
        <v>0</v>
      </c>
      <c r="P85" s="48">
        <f>Nordfyn!J86</f>
        <v>0</v>
      </c>
      <c r="Q85" s="48">
        <f>Kerteminde!J86</f>
        <v>0</v>
      </c>
      <c r="R85" s="48">
        <f>'Særlige tilskud'!J86</f>
        <v>0</v>
      </c>
    </row>
    <row r="86" spans="1:18" x14ac:dyDescent="0.25">
      <c r="A86" s="42" t="s">
        <v>131</v>
      </c>
      <c r="B86" s="42" t="s">
        <v>132</v>
      </c>
      <c r="H86" s="48">
        <v>0</v>
      </c>
      <c r="I86" s="48">
        <f t="shared" si="1"/>
        <v>0</v>
      </c>
      <c r="K86" s="48">
        <f>'Fælles adm.'!J87</f>
        <v>0</v>
      </c>
      <c r="L86" s="48">
        <f>Odense!J87</f>
        <v>0</v>
      </c>
      <c r="M86" s="48">
        <f>Laks!J87</f>
        <v>0</v>
      </c>
      <c r="N86" s="48">
        <f>Assens!J87</f>
        <v>0</v>
      </c>
      <c r="O86" s="48">
        <f>Nyborg!J87</f>
        <v>0</v>
      </c>
      <c r="P86" s="48">
        <f>Nordfyn!J87</f>
        <v>0</v>
      </c>
      <c r="Q86" s="48">
        <f>Kerteminde!J87</f>
        <v>0</v>
      </c>
      <c r="R86" s="48">
        <f>'Særlige tilskud'!J87</f>
        <v>0</v>
      </c>
    </row>
    <row r="87" spans="1:18" x14ac:dyDescent="0.25">
      <c r="A87" s="42" t="s">
        <v>133</v>
      </c>
      <c r="B87" s="42" t="s">
        <v>134</v>
      </c>
      <c r="C87" s="45">
        <v>-25043.32</v>
      </c>
      <c r="G87" s="45">
        <v>25043.32</v>
      </c>
      <c r="H87" s="48">
        <v>-25043.32</v>
      </c>
      <c r="I87" s="48">
        <f t="shared" si="1"/>
        <v>0</v>
      </c>
      <c r="K87" s="48">
        <f>'Fælles adm.'!J88</f>
        <v>0</v>
      </c>
      <c r="L87" s="48">
        <f>Odense!J88</f>
        <v>0</v>
      </c>
      <c r="M87" s="48">
        <f>Laks!J88</f>
        <v>0</v>
      </c>
      <c r="N87" s="48">
        <f>Assens!J88</f>
        <v>0</v>
      </c>
      <c r="O87" s="48">
        <f>Nyborg!J88</f>
        <v>0</v>
      </c>
      <c r="P87" s="48">
        <f>Nordfyn!J88</f>
        <v>0</v>
      </c>
      <c r="Q87" s="48">
        <f>Kerteminde!J88</f>
        <v>0</v>
      </c>
      <c r="R87" s="48">
        <f>'Særlige tilskud'!J88</f>
        <v>0</v>
      </c>
    </row>
    <row r="88" spans="1:18" x14ac:dyDescent="0.25">
      <c r="A88" s="42" t="s">
        <v>135</v>
      </c>
      <c r="B88" s="42" t="s">
        <v>136</v>
      </c>
      <c r="C88" s="45">
        <v>25043.32</v>
      </c>
      <c r="G88" s="45">
        <v>-25043.32</v>
      </c>
      <c r="H88" s="48">
        <v>25043.32</v>
      </c>
      <c r="I88" s="48">
        <f t="shared" si="1"/>
        <v>0</v>
      </c>
      <c r="K88" s="48">
        <f>'Fælles adm.'!J89</f>
        <v>0</v>
      </c>
      <c r="L88" s="48">
        <f>Odense!J89</f>
        <v>0</v>
      </c>
      <c r="M88" s="48">
        <f>Laks!J89</f>
        <v>0</v>
      </c>
      <c r="N88" s="48">
        <f>Assens!J89</f>
        <v>0</v>
      </c>
      <c r="O88" s="48">
        <f>Nyborg!J89</f>
        <v>0</v>
      </c>
      <c r="P88" s="48">
        <f>Nordfyn!J89</f>
        <v>0</v>
      </c>
      <c r="Q88" s="48">
        <f>Kerteminde!J89</f>
        <v>0</v>
      </c>
      <c r="R88" s="48">
        <f>'Særlige tilskud'!J89</f>
        <v>0</v>
      </c>
    </row>
    <row r="89" spans="1:18" x14ac:dyDescent="0.25">
      <c r="A89" s="42" t="s">
        <v>137</v>
      </c>
      <c r="B89" s="42" t="s">
        <v>138</v>
      </c>
      <c r="C89" s="45">
        <v>-32752461.84</v>
      </c>
      <c r="D89" s="45">
        <v>-58924213.310000002</v>
      </c>
      <c r="E89" s="45">
        <v>44.42</v>
      </c>
      <c r="F89" s="45">
        <v>55.58</v>
      </c>
      <c r="G89" s="45">
        <v>-26171751.469999999</v>
      </c>
      <c r="H89" s="48">
        <v>-56845269.530000001</v>
      </c>
      <c r="I89" s="48">
        <f t="shared" si="1"/>
        <v>-46623173.189999998</v>
      </c>
      <c r="K89" s="48">
        <f>'Fælles adm.'!J90</f>
        <v>-5888825.6100000003</v>
      </c>
      <c r="L89" s="48">
        <f>Odense!J90</f>
        <v>-14995264.210000001</v>
      </c>
      <c r="M89" s="48">
        <f>Laks!J90</f>
        <v>-1371367</v>
      </c>
      <c r="N89" s="48">
        <f>Assens!J90</f>
        <v>-5432040.9199999999</v>
      </c>
      <c r="O89" s="48">
        <f>Nyborg!J90</f>
        <v>-6343411.3499999996</v>
      </c>
      <c r="P89" s="48">
        <f>Nordfyn!J90</f>
        <v>-5788020.5099999998</v>
      </c>
      <c r="Q89" s="48">
        <f>Kerteminde!J90</f>
        <v>-6804243.5899999999</v>
      </c>
      <c r="R89" s="48">
        <f>'Særlige tilskud'!J90</f>
        <v>0</v>
      </c>
    </row>
    <row r="90" spans="1:18" x14ac:dyDescent="0.25">
      <c r="A90" s="42" t="s">
        <v>139</v>
      </c>
      <c r="B90" s="42" t="s">
        <v>140</v>
      </c>
      <c r="H90" s="48">
        <v>0</v>
      </c>
      <c r="I90" s="48">
        <f t="shared" si="1"/>
        <v>0</v>
      </c>
      <c r="K90" s="48">
        <f>'Fælles adm.'!J91</f>
        <v>0</v>
      </c>
      <c r="L90" s="48">
        <f>Odense!J91</f>
        <v>0</v>
      </c>
      <c r="M90" s="48">
        <f>Laks!J91</f>
        <v>0</v>
      </c>
      <c r="N90" s="48">
        <f>Assens!J91</f>
        <v>0</v>
      </c>
      <c r="O90" s="48">
        <f>Nyborg!J91</f>
        <v>0</v>
      </c>
      <c r="P90" s="48">
        <f>Nordfyn!J91</f>
        <v>0</v>
      </c>
      <c r="Q90" s="48">
        <f>Kerteminde!J91</f>
        <v>0</v>
      </c>
      <c r="R90" s="48">
        <f>'Særlige tilskud'!J91</f>
        <v>0</v>
      </c>
    </row>
    <row r="91" spans="1:18" x14ac:dyDescent="0.25">
      <c r="A91" s="42" t="s">
        <v>141</v>
      </c>
      <c r="B91" s="42" t="s">
        <v>142</v>
      </c>
      <c r="H91" s="48">
        <v>0</v>
      </c>
      <c r="I91" s="48">
        <f t="shared" si="1"/>
        <v>0</v>
      </c>
      <c r="K91" s="48">
        <f>'Fælles adm.'!J92</f>
        <v>0</v>
      </c>
      <c r="L91" s="48">
        <f>Odense!J92</f>
        <v>0</v>
      </c>
      <c r="M91" s="48">
        <f>Laks!J92</f>
        <v>0</v>
      </c>
      <c r="N91" s="48">
        <f>Assens!J92</f>
        <v>0</v>
      </c>
      <c r="O91" s="48">
        <f>Nyborg!J92</f>
        <v>0</v>
      </c>
      <c r="P91" s="48">
        <f>Nordfyn!J92</f>
        <v>0</v>
      </c>
      <c r="Q91" s="48">
        <f>Kerteminde!J92</f>
        <v>0</v>
      </c>
      <c r="R91" s="48">
        <f>'Særlige tilskud'!J92</f>
        <v>0</v>
      </c>
    </row>
    <row r="92" spans="1:18" x14ac:dyDescent="0.25">
      <c r="A92" s="42" t="s">
        <v>143</v>
      </c>
      <c r="B92" s="42" t="s">
        <v>144</v>
      </c>
      <c r="H92" s="48">
        <v>0</v>
      </c>
      <c r="I92" s="48">
        <f t="shared" si="1"/>
        <v>0</v>
      </c>
      <c r="K92" s="48">
        <f>'Fælles adm.'!J93</f>
        <v>0</v>
      </c>
      <c r="L92" s="48">
        <f>Odense!J93</f>
        <v>0</v>
      </c>
      <c r="M92" s="48">
        <f>Laks!J93</f>
        <v>0</v>
      </c>
      <c r="N92" s="48">
        <f>Assens!J93</f>
        <v>0</v>
      </c>
      <c r="O92" s="48">
        <f>Nyborg!J93</f>
        <v>0</v>
      </c>
      <c r="P92" s="48">
        <f>Nordfyn!J93</f>
        <v>0</v>
      </c>
      <c r="Q92" s="48">
        <f>Kerteminde!J93</f>
        <v>0</v>
      </c>
      <c r="R92" s="48">
        <f>'Særlige tilskud'!J93</f>
        <v>0</v>
      </c>
    </row>
    <row r="93" spans="1:18" x14ac:dyDescent="0.25">
      <c r="A93" s="42" t="s">
        <v>145</v>
      </c>
      <c r="B93" s="42" t="s">
        <v>146</v>
      </c>
      <c r="C93" s="45">
        <v>448.84</v>
      </c>
      <c r="G93" s="45">
        <v>-448.84</v>
      </c>
      <c r="H93" s="48">
        <v>-219551.15999999997</v>
      </c>
      <c r="I93" s="48">
        <f t="shared" si="1"/>
        <v>0</v>
      </c>
      <c r="K93" s="48">
        <f>'Fælles adm.'!J94</f>
        <v>0</v>
      </c>
      <c r="L93" s="48">
        <f>Odense!J94</f>
        <v>0</v>
      </c>
      <c r="M93" s="48">
        <f>Laks!J94</f>
        <v>0</v>
      </c>
      <c r="N93" s="48">
        <f>Assens!J94</f>
        <v>0</v>
      </c>
      <c r="O93" s="48">
        <f>Nyborg!J94</f>
        <v>0</v>
      </c>
      <c r="P93" s="48">
        <f>Nordfyn!J94</f>
        <v>0</v>
      </c>
      <c r="Q93" s="48">
        <f>Kerteminde!J94</f>
        <v>0</v>
      </c>
      <c r="R93" s="48">
        <f>'Særlige tilskud'!J94</f>
        <v>0</v>
      </c>
    </row>
    <row r="94" spans="1:18" x14ac:dyDescent="0.25">
      <c r="A94" s="42" t="s">
        <v>147</v>
      </c>
      <c r="B94" s="42" t="s">
        <v>148</v>
      </c>
      <c r="C94" s="45">
        <v>-154694.1</v>
      </c>
      <c r="G94" s="45">
        <v>154694.1</v>
      </c>
      <c r="H94" s="48">
        <v>-154694.1</v>
      </c>
      <c r="I94" s="48">
        <f t="shared" si="1"/>
        <v>0</v>
      </c>
      <c r="K94" s="48">
        <f>'Fælles adm.'!J95</f>
        <v>0</v>
      </c>
      <c r="L94" s="48">
        <f>Odense!J95</f>
        <v>0</v>
      </c>
      <c r="M94" s="48">
        <f>Laks!J95</f>
        <v>0</v>
      </c>
      <c r="N94" s="48">
        <f>Assens!J95</f>
        <v>0</v>
      </c>
      <c r="O94" s="48">
        <f>Nyborg!J95</f>
        <v>0</v>
      </c>
      <c r="P94" s="48">
        <f>Nordfyn!J95</f>
        <v>0</v>
      </c>
      <c r="Q94" s="48">
        <f>Kerteminde!J95</f>
        <v>0</v>
      </c>
      <c r="R94" s="48">
        <f>'Særlige tilskud'!J95</f>
        <v>0</v>
      </c>
    </row>
    <row r="95" spans="1:18" x14ac:dyDescent="0.25">
      <c r="A95" s="42" t="s">
        <v>149</v>
      </c>
      <c r="B95" s="42" t="s">
        <v>150</v>
      </c>
      <c r="H95" s="48">
        <v>0</v>
      </c>
      <c r="I95" s="48">
        <f t="shared" si="1"/>
        <v>0</v>
      </c>
      <c r="K95" s="48">
        <f>'Fælles adm.'!J96</f>
        <v>0</v>
      </c>
      <c r="L95" s="48">
        <f>Odense!J96</f>
        <v>0</v>
      </c>
      <c r="M95" s="48">
        <f>Laks!J96</f>
        <v>0</v>
      </c>
      <c r="N95" s="48">
        <f>Assens!J96</f>
        <v>0</v>
      </c>
      <c r="O95" s="48">
        <f>Nyborg!J96</f>
        <v>0</v>
      </c>
      <c r="P95" s="48">
        <f>Nordfyn!J96</f>
        <v>0</v>
      </c>
      <c r="Q95" s="48">
        <f>Kerteminde!J96</f>
        <v>0</v>
      </c>
      <c r="R95" s="48">
        <f>'Særlige tilskud'!J96</f>
        <v>0</v>
      </c>
    </row>
    <row r="96" spans="1:18" x14ac:dyDescent="0.25">
      <c r="A96" s="42" t="s">
        <v>151</v>
      </c>
      <c r="B96" s="42" t="s">
        <v>152</v>
      </c>
      <c r="H96" s="48">
        <v>0</v>
      </c>
      <c r="I96" s="48">
        <f t="shared" si="1"/>
        <v>0</v>
      </c>
      <c r="K96" s="48">
        <f>'Fælles adm.'!J97</f>
        <v>0</v>
      </c>
      <c r="L96" s="48">
        <f>Odense!J97</f>
        <v>0</v>
      </c>
      <c r="M96" s="48">
        <f>Laks!J97</f>
        <v>0</v>
      </c>
      <c r="N96" s="48">
        <f>Assens!J97</f>
        <v>0</v>
      </c>
      <c r="O96" s="48">
        <f>Nyborg!J97</f>
        <v>0</v>
      </c>
      <c r="P96" s="48">
        <f>Nordfyn!J97</f>
        <v>0</v>
      </c>
      <c r="Q96" s="48">
        <f>Kerteminde!J97</f>
        <v>0</v>
      </c>
      <c r="R96" s="48">
        <f>'Særlige tilskud'!J97</f>
        <v>0</v>
      </c>
    </row>
    <row r="97" spans="1:18" x14ac:dyDescent="0.25">
      <c r="A97" s="42" t="s">
        <v>153</v>
      </c>
      <c r="B97" s="42" t="s">
        <v>154</v>
      </c>
      <c r="H97" s="48">
        <v>0</v>
      </c>
      <c r="I97" s="48">
        <f t="shared" si="1"/>
        <v>0</v>
      </c>
      <c r="K97" s="48">
        <f>'Fælles adm.'!J98</f>
        <v>0</v>
      </c>
      <c r="L97" s="48">
        <f>Odense!J98</f>
        <v>0</v>
      </c>
      <c r="M97" s="48">
        <f>Laks!J98</f>
        <v>0</v>
      </c>
      <c r="N97" s="48">
        <f>Assens!J98</f>
        <v>0</v>
      </c>
      <c r="O97" s="48">
        <f>Nyborg!J98</f>
        <v>0</v>
      </c>
      <c r="P97" s="48">
        <f>Nordfyn!J98</f>
        <v>0</v>
      </c>
      <c r="Q97" s="48">
        <f>Kerteminde!J98</f>
        <v>0</v>
      </c>
      <c r="R97" s="48">
        <f>'Særlige tilskud'!J98</f>
        <v>0</v>
      </c>
    </row>
    <row r="98" spans="1:18" x14ac:dyDescent="0.25">
      <c r="A98" s="42" t="s">
        <v>155</v>
      </c>
      <c r="B98" s="42" t="s">
        <v>156</v>
      </c>
      <c r="H98" s="48">
        <v>0</v>
      </c>
      <c r="I98" s="48">
        <f t="shared" si="1"/>
        <v>0</v>
      </c>
      <c r="K98" s="48">
        <f>'Fælles adm.'!J99</f>
        <v>0</v>
      </c>
      <c r="L98" s="48">
        <f>Odense!J99</f>
        <v>0</v>
      </c>
      <c r="M98" s="48">
        <f>Laks!J99</f>
        <v>0</v>
      </c>
      <c r="N98" s="48">
        <f>Assens!J99</f>
        <v>0</v>
      </c>
      <c r="O98" s="48">
        <f>Nyborg!J99</f>
        <v>0</v>
      </c>
      <c r="P98" s="48">
        <f>Nordfyn!J99</f>
        <v>0</v>
      </c>
      <c r="Q98" s="48">
        <f>Kerteminde!J99</f>
        <v>0</v>
      </c>
      <c r="R98" s="48">
        <f>'Særlige tilskud'!J99</f>
        <v>0</v>
      </c>
    </row>
    <row r="99" spans="1:18" x14ac:dyDescent="0.25">
      <c r="A99" s="42" t="s">
        <v>157</v>
      </c>
      <c r="B99" s="42" t="s">
        <v>158</v>
      </c>
      <c r="H99" s="48">
        <v>0</v>
      </c>
      <c r="I99" s="48">
        <f t="shared" si="1"/>
        <v>0</v>
      </c>
      <c r="K99" s="48">
        <f>'Fælles adm.'!J100</f>
        <v>0</v>
      </c>
      <c r="L99" s="48">
        <f>Odense!J100</f>
        <v>0</v>
      </c>
      <c r="M99" s="48">
        <f>Laks!J100</f>
        <v>0</v>
      </c>
      <c r="N99" s="48">
        <f>Assens!J100</f>
        <v>0</v>
      </c>
      <c r="O99" s="48">
        <f>Nyborg!J100</f>
        <v>0</v>
      </c>
      <c r="P99" s="48">
        <f>Nordfyn!J100</f>
        <v>0</v>
      </c>
      <c r="Q99" s="48">
        <f>Kerteminde!J100</f>
        <v>0</v>
      </c>
      <c r="R99" s="48">
        <f>'Særlige tilskud'!J100</f>
        <v>0</v>
      </c>
    </row>
    <row r="100" spans="1:18" x14ac:dyDescent="0.25">
      <c r="A100" s="42" t="s">
        <v>159</v>
      </c>
      <c r="B100" s="42" t="s">
        <v>160</v>
      </c>
      <c r="H100" s="48">
        <v>0</v>
      </c>
      <c r="I100" s="48">
        <f t="shared" si="1"/>
        <v>0</v>
      </c>
      <c r="K100" s="48">
        <f>'Fælles adm.'!J101</f>
        <v>0</v>
      </c>
      <c r="L100" s="48">
        <f>Odense!J101</f>
        <v>0</v>
      </c>
      <c r="M100" s="48">
        <f>Laks!J101</f>
        <v>0</v>
      </c>
      <c r="N100" s="48">
        <f>Assens!J101</f>
        <v>0</v>
      </c>
      <c r="O100" s="48">
        <f>Nyborg!J101</f>
        <v>0</v>
      </c>
      <c r="P100" s="48">
        <f>Nordfyn!J101</f>
        <v>0</v>
      </c>
      <c r="Q100" s="48">
        <f>Kerteminde!J101</f>
        <v>0</v>
      </c>
      <c r="R100" s="48">
        <f>'Særlige tilskud'!J101</f>
        <v>0</v>
      </c>
    </row>
    <row r="101" spans="1:18" x14ac:dyDescent="0.25">
      <c r="A101" s="42" t="s">
        <v>161</v>
      </c>
      <c r="B101" s="42" t="s">
        <v>162</v>
      </c>
      <c r="H101" s="48">
        <v>0</v>
      </c>
      <c r="I101" s="48">
        <f t="shared" si="1"/>
        <v>0</v>
      </c>
      <c r="K101" s="48">
        <f>'Fælles adm.'!J102</f>
        <v>0</v>
      </c>
      <c r="L101" s="48">
        <f>Odense!J102</f>
        <v>0</v>
      </c>
      <c r="M101" s="48">
        <f>Laks!J102</f>
        <v>0</v>
      </c>
      <c r="N101" s="48">
        <f>Assens!J102</f>
        <v>0</v>
      </c>
      <c r="O101" s="48">
        <f>Nyborg!J102</f>
        <v>0</v>
      </c>
      <c r="P101" s="48">
        <f>Nordfyn!J102</f>
        <v>0</v>
      </c>
      <c r="Q101" s="48">
        <f>Kerteminde!J102</f>
        <v>0</v>
      </c>
      <c r="R101" s="48">
        <f>'Særlige tilskud'!J102</f>
        <v>0</v>
      </c>
    </row>
    <row r="102" spans="1:18" x14ac:dyDescent="0.25">
      <c r="A102" s="42" t="s">
        <v>163</v>
      </c>
      <c r="B102" s="42" t="s">
        <v>164</v>
      </c>
      <c r="C102" s="45">
        <v>-71400</v>
      </c>
      <c r="D102" s="45">
        <v>-26873.33</v>
      </c>
      <c r="E102" s="45">
        <v>-165.69</v>
      </c>
      <c r="F102" s="45">
        <v>265.69</v>
      </c>
      <c r="G102" s="45">
        <v>44526.67</v>
      </c>
      <c r="H102" s="48">
        <v>-142800</v>
      </c>
      <c r="I102" s="48">
        <f t="shared" si="1"/>
        <v>-107100</v>
      </c>
      <c r="K102" s="48">
        <f>'Fælles adm.'!J103</f>
        <v>-107100</v>
      </c>
      <c r="L102" s="48">
        <f>Odense!J103</f>
        <v>0</v>
      </c>
      <c r="M102" s="48">
        <f>Laks!J103</f>
        <v>0</v>
      </c>
      <c r="N102" s="48">
        <f>Assens!J103</f>
        <v>0</v>
      </c>
      <c r="O102" s="48">
        <f>Nyborg!J103</f>
        <v>0</v>
      </c>
      <c r="P102" s="48">
        <f>Nordfyn!J103</f>
        <v>0</v>
      </c>
      <c r="Q102" s="48">
        <f>Kerteminde!J103</f>
        <v>0</v>
      </c>
      <c r="R102" s="48">
        <f>'Særlige tilskud'!J103</f>
        <v>0</v>
      </c>
    </row>
    <row r="103" spans="1:18" x14ac:dyDescent="0.25">
      <c r="A103" s="42" t="s">
        <v>165</v>
      </c>
      <c r="B103" s="42" t="s">
        <v>166</v>
      </c>
      <c r="H103" s="48">
        <v>0</v>
      </c>
      <c r="I103" s="48">
        <f t="shared" si="1"/>
        <v>0</v>
      </c>
      <c r="K103" s="48">
        <f>'Fælles adm.'!J104</f>
        <v>0</v>
      </c>
      <c r="L103" s="48">
        <f>Odense!J104</f>
        <v>0</v>
      </c>
      <c r="M103" s="48">
        <f>Laks!J104</f>
        <v>0</v>
      </c>
      <c r="N103" s="48">
        <f>Assens!J104</f>
        <v>0</v>
      </c>
      <c r="O103" s="48">
        <f>Nyborg!J104</f>
        <v>0</v>
      </c>
      <c r="P103" s="48">
        <f>Nordfyn!J104</f>
        <v>0</v>
      </c>
      <c r="Q103" s="48">
        <f>Kerteminde!J104</f>
        <v>0</v>
      </c>
      <c r="R103" s="48">
        <f>'Særlige tilskud'!J104</f>
        <v>0</v>
      </c>
    </row>
    <row r="104" spans="1:18" x14ac:dyDescent="0.25">
      <c r="A104" s="42" t="s">
        <v>167</v>
      </c>
      <c r="B104" s="42" t="s">
        <v>168</v>
      </c>
      <c r="H104" s="48">
        <v>0</v>
      </c>
      <c r="I104" s="48">
        <f t="shared" si="1"/>
        <v>0</v>
      </c>
      <c r="K104" s="48">
        <f>'Fælles adm.'!J105</f>
        <v>0</v>
      </c>
      <c r="L104" s="48">
        <f>Odense!J105</f>
        <v>0</v>
      </c>
      <c r="M104" s="48">
        <f>Laks!J105</f>
        <v>0</v>
      </c>
      <c r="N104" s="48">
        <f>Assens!J105</f>
        <v>0</v>
      </c>
      <c r="O104" s="48">
        <f>Nyborg!J105</f>
        <v>0</v>
      </c>
      <c r="P104" s="48">
        <f>Nordfyn!J105</f>
        <v>0</v>
      </c>
      <c r="Q104" s="48">
        <f>Kerteminde!J105</f>
        <v>0</v>
      </c>
      <c r="R104" s="48">
        <f>'Særlige tilskud'!J105</f>
        <v>0</v>
      </c>
    </row>
    <row r="105" spans="1:18" x14ac:dyDescent="0.25">
      <c r="A105" s="42" t="s">
        <v>169</v>
      </c>
      <c r="B105" s="42" t="s">
        <v>170</v>
      </c>
      <c r="C105" s="45">
        <v>802300.14</v>
      </c>
      <c r="G105" s="45">
        <v>-802300.14</v>
      </c>
      <c r="H105" s="48">
        <v>802300.14</v>
      </c>
      <c r="I105" s="48">
        <f t="shared" si="1"/>
        <v>0</v>
      </c>
      <c r="K105" s="48">
        <f>'Fælles adm.'!J106</f>
        <v>0</v>
      </c>
      <c r="L105" s="48">
        <f>Odense!J106</f>
        <v>0</v>
      </c>
      <c r="M105" s="48">
        <f>Laks!J106</f>
        <v>0</v>
      </c>
      <c r="N105" s="48">
        <f>Assens!J106</f>
        <v>0</v>
      </c>
      <c r="O105" s="48">
        <f>Nyborg!J106</f>
        <v>0</v>
      </c>
      <c r="P105" s="48">
        <f>Nordfyn!J106</f>
        <v>0</v>
      </c>
      <c r="Q105" s="48">
        <f>Kerteminde!J106</f>
        <v>0</v>
      </c>
      <c r="R105" s="48">
        <f>'Særlige tilskud'!J106</f>
        <v>0</v>
      </c>
    </row>
    <row r="106" spans="1:18" x14ac:dyDescent="0.25">
      <c r="A106" s="43" t="s">
        <v>171</v>
      </c>
      <c r="B106" s="43" t="s">
        <v>172</v>
      </c>
      <c r="C106" s="46">
        <v>-32623168.16</v>
      </c>
      <c r="D106" s="46">
        <v>-59993521.539999999</v>
      </c>
      <c r="E106" s="46">
        <v>45.62</v>
      </c>
      <c r="F106" s="46">
        <v>54.38</v>
      </c>
      <c r="G106" s="46">
        <v>-27370353.379999999</v>
      </c>
      <c r="H106" s="5">
        <v>-57454737.050000004</v>
      </c>
      <c r="I106" s="5">
        <f t="shared" si="1"/>
        <v>-47624995.590000004</v>
      </c>
      <c r="K106" s="5">
        <f>'Fælles adm.'!J107</f>
        <v>-6890648.0100000007</v>
      </c>
      <c r="L106" s="5">
        <f>Odense!J107</f>
        <v>-14995264.210000001</v>
      </c>
      <c r="M106" s="5">
        <f>Laks!J107</f>
        <v>-1371367</v>
      </c>
      <c r="N106" s="5">
        <f>Assens!J107</f>
        <v>-5432040.9199999999</v>
      </c>
      <c r="O106" s="5">
        <f>Nyborg!J107</f>
        <v>-6343411.3499999996</v>
      </c>
      <c r="P106" s="5">
        <f>Nordfyn!J107</f>
        <v>-5788020.5099999998</v>
      </c>
      <c r="Q106" s="5">
        <f>Kerteminde!J107</f>
        <v>-6804243.5899999999</v>
      </c>
      <c r="R106" s="5">
        <f>'Særlige tilskud'!J107</f>
        <v>0</v>
      </c>
    </row>
    <row r="107" spans="1:18" x14ac:dyDescent="0.25">
      <c r="A107" s="42" t="s">
        <v>12</v>
      </c>
      <c r="B107" s="42" t="s">
        <v>12</v>
      </c>
      <c r="H107" s="48"/>
      <c r="I107" s="48">
        <f t="shared" si="1"/>
        <v>0</v>
      </c>
      <c r="K107" s="48">
        <f>'Fælles adm.'!J108</f>
        <v>0</v>
      </c>
      <c r="L107" s="48">
        <f>Odense!J108</f>
        <v>0</v>
      </c>
      <c r="M107" s="48">
        <f>Laks!J108</f>
        <v>0</v>
      </c>
      <c r="N107" s="48">
        <f>Assens!J108</f>
        <v>0</v>
      </c>
      <c r="O107" s="48">
        <f>Nyborg!J108</f>
        <v>0</v>
      </c>
      <c r="P107" s="48">
        <f>Nordfyn!J108</f>
        <v>0</v>
      </c>
      <c r="Q107" s="48">
        <f>Kerteminde!J108</f>
        <v>0</v>
      </c>
      <c r="R107" s="48">
        <f>'Særlige tilskud'!J108</f>
        <v>0</v>
      </c>
    </row>
    <row r="108" spans="1:18" x14ac:dyDescent="0.25">
      <c r="A108" s="43" t="s">
        <v>173</v>
      </c>
      <c r="B108" s="43" t="s">
        <v>174</v>
      </c>
      <c r="C108" s="46"/>
      <c r="D108" s="46"/>
      <c r="E108" s="46"/>
      <c r="F108" s="46"/>
      <c r="G108" s="46"/>
      <c r="H108" s="5"/>
      <c r="I108" s="5">
        <f t="shared" si="1"/>
        <v>0</v>
      </c>
      <c r="K108" s="5">
        <f>'Fælles adm.'!J109</f>
        <v>0</v>
      </c>
      <c r="L108" s="5">
        <f>Odense!J109</f>
        <v>0</v>
      </c>
      <c r="M108" s="5">
        <f>Laks!J109</f>
        <v>0</v>
      </c>
      <c r="N108" s="5">
        <f>Assens!J109</f>
        <v>0</v>
      </c>
      <c r="O108" s="5">
        <f>Nyborg!J109</f>
        <v>0</v>
      </c>
      <c r="P108" s="5">
        <f>Nordfyn!J109</f>
        <v>0</v>
      </c>
      <c r="Q108" s="5">
        <f>Kerteminde!J109</f>
        <v>0</v>
      </c>
      <c r="R108" s="5">
        <f>'Særlige tilskud'!J109</f>
        <v>0</v>
      </c>
    </row>
    <row r="109" spans="1:18" x14ac:dyDescent="0.25">
      <c r="A109" s="42" t="s">
        <v>175</v>
      </c>
      <c r="B109" s="42" t="s">
        <v>174</v>
      </c>
      <c r="C109" s="45">
        <v>-5419886.8300000001</v>
      </c>
      <c r="D109" s="45">
        <v>-11851711.15</v>
      </c>
      <c r="E109" s="45">
        <v>54.27</v>
      </c>
      <c r="F109" s="45">
        <v>45.73</v>
      </c>
      <c r="G109" s="45">
        <v>-6431824.3200000003</v>
      </c>
      <c r="H109" s="48">
        <v>-11743873.509999998</v>
      </c>
      <c r="I109" s="48">
        <f t="shared" si="1"/>
        <v>-8325215.04</v>
      </c>
      <c r="K109" s="48">
        <f>'Fælles adm.'!J110</f>
        <v>-1231883</v>
      </c>
      <c r="L109" s="48">
        <f>Odense!J110</f>
        <v>-2631804.9700000002</v>
      </c>
      <c r="M109" s="48">
        <f>Laks!J110</f>
        <v>-233132.39</v>
      </c>
      <c r="N109" s="48">
        <f>Assens!J110</f>
        <v>-943159.07</v>
      </c>
      <c r="O109" s="48">
        <f>Nyborg!J110</f>
        <v>-1095809.1499999999</v>
      </c>
      <c r="P109" s="48">
        <f>Nordfyn!J110</f>
        <v>-972088.93</v>
      </c>
      <c r="Q109" s="48">
        <f>Kerteminde!J110</f>
        <v>-1217337.53</v>
      </c>
      <c r="R109" s="48">
        <f>'Særlige tilskud'!J110</f>
        <v>0</v>
      </c>
    </row>
    <row r="110" spans="1:18" x14ac:dyDescent="0.25">
      <c r="A110" s="42" t="s">
        <v>176</v>
      </c>
      <c r="B110" s="42" t="s">
        <v>177</v>
      </c>
      <c r="H110" s="48">
        <v>0</v>
      </c>
      <c r="I110" s="48">
        <f t="shared" si="1"/>
        <v>0</v>
      </c>
      <c r="K110" s="48">
        <f>'Fælles adm.'!J111</f>
        <v>0</v>
      </c>
      <c r="L110" s="48">
        <f>Odense!J111</f>
        <v>0</v>
      </c>
      <c r="M110" s="48">
        <f>Laks!J111</f>
        <v>0</v>
      </c>
      <c r="N110" s="48">
        <f>Assens!J111</f>
        <v>0</v>
      </c>
      <c r="O110" s="48">
        <f>Nyborg!J111</f>
        <v>0</v>
      </c>
      <c r="P110" s="48">
        <f>Nordfyn!J111</f>
        <v>0</v>
      </c>
      <c r="Q110" s="48">
        <f>Kerteminde!J111</f>
        <v>0</v>
      </c>
      <c r="R110" s="48">
        <f>'Særlige tilskud'!J111</f>
        <v>0</v>
      </c>
    </row>
    <row r="111" spans="1:18" x14ac:dyDescent="0.25">
      <c r="A111" s="43" t="s">
        <v>178</v>
      </c>
      <c r="B111" s="43" t="s">
        <v>179</v>
      </c>
      <c r="C111" s="46">
        <v>-5419886.8300000001</v>
      </c>
      <c r="D111" s="46">
        <v>-11851711.15</v>
      </c>
      <c r="E111" s="46">
        <v>54.27</v>
      </c>
      <c r="F111" s="46">
        <v>45.73</v>
      </c>
      <c r="G111" s="46">
        <v>-6431824.3200000003</v>
      </c>
      <c r="H111" s="5">
        <v>-11743873.509999998</v>
      </c>
      <c r="I111" s="5">
        <f t="shared" si="1"/>
        <v>-8325215.04</v>
      </c>
      <c r="K111" s="5">
        <f>'Fælles adm.'!J112</f>
        <v>-1231883</v>
      </c>
      <c r="L111" s="5">
        <f>Odense!J112</f>
        <v>-2631804.9700000002</v>
      </c>
      <c r="M111" s="5">
        <f>Laks!J112</f>
        <v>-233132.39</v>
      </c>
      <c r="N111" s="5">
        <f>Assens!J112</f>
        <v>-943159.07</v>
      </c>
      <c r="O111" s="5">
        <f>Nyborg!J112</f>
        <v>-1095809.1499999999</v>
      </c>
      <c r="P111" s="5">
        <f>Nordfyn!J112</f>
        <v>-972088.93</v>
      </c>
      <c r="Q111" s="5">
        <f>Kerteminde!J112</f>
        <v>-1217337.53</v>
      </c>
      <c r="R111" s="5">
        <f>'Særlige tilskud'!J112</f>
        <v>0</v>
      </c>
    </row>
    <row r="112" spans="1:18" x14ac:dyDescent="0.25">
      <c r="A112" s="42" t="s">
        <v>12</v>
      </c>
      <c r="B112" s="42" t="s">
        <v>12</v>
      </c>
      <c r="H112" s="48"/>
      <c r="I112" s="48">
        <f t="shared" si="1"/>
        <v>0</v>
      </c>
      <c r="K112" s="48">
        <f>'Fælles adm.'!J113</f>
        <v>0</v>
      </c>
      <c r="L112" s="48">
        <f>Odense!J113</f>
        <v>0</v>
      </c>
      <c r="M112" s="48">
        <f>Laks!J113</f>
        <v>0</v>
      </c>
      <c r="N112" s="48">
        <f>Assens!J113</f>
        <v>0</v>
      </c>
      <c r="O112" s="48">
        <f>Nyborg!J113</f>
        <v>0</v>
      </c>
      <c r="P112" s="48">
        <f>Nordfyn!J113</f>
        <v>0</v>
      </c>
      <c r="Q112" s="48">
        <f>Kerteminde!J113</f>
        <v>0</v>
      </c>
      <c r="R112" s="48">
        <f>'Særlige tilskud'!J113</f>
        <v>0</v>
      </c>
    </row>
    <row r="113" spans="1:18" x14ac:dyDescent="0.25">
      <c r="A113" s="43" t="s">
        <v>180</v>
      </c>
      <c r="B113" s="43" t="s">
        <v>181</v>
      </c>
      <c r="C113" s="46"/>
      <c r="D113" s="46"/>
      <c r="E113" s="46"/>
      <c r="F113" s="46"/>
      <c r="G113" s="46"/>
      <c r="H113" s="5"/>
      <c r="I113" s="5">
        <f t="shared" si="1"/>
        <v>0</v>
      </c>
      <c r="K113" s="5">
        <f>'Fælles adm.'!J114</f>
        <v>0</v>
      </c>
      <c r="L113" s="5">
        <f>Odense!J114</f>
        <v>0</v>
      </c>
      <c r="M113" s="5">
        <f>Laks!J114</f>
        <v>0</v>
      </c>
      <c r="N113" s="5">
        <f>Assens!J114</f>
        <v>0</v>
      </c>
      <c r="O113" s="5">
        <f>Nyborg!J114</f>
        <v>0</v>
      </c>
      <c r="P113" s="5">
        <f>Nordfyn!J114</f>
        <v>0</v>
      </c>
      <c r="Q113" s="5">
        <f>Kerteminde!J114</f>
        <v>0</v>
      </c>
      <c r="R113" s="5">
        <f>'Særlige tilskud'!J114</f>
        <v>0</v>
      </c>
    </row>
    <row r="114" spans="1:18" x14ac:dyDescent="0.25">
      <c r="A114" s="42" t="s">
        <v>182</v>
      </c>
      <c r="B114" s="42" t="s">
        <v>183</v>
      </c>
      <c r="C114" s="45">
        <v>3633580.92</v>
      </c>
      <c r="D114" s="45">
        <v>5075121</v>
      </c>
      <c r="E114" s="45">
        <v>28.4</v>
      </c>
      <c r="F114" s="45">
        <v>71.599999999999994</v>
      </c>
      <c r="G114" s="45">
        <v>1441540.08</v>
      </c>
      <c r="H114" s="48">
        <v>7267161.8399999999</v>
      </c>
      <c r="I114" s="48">
        <f t="shared" si="1"/>
        <v>7267161.8399999999</v>
      </c>
      <c r="K114" s="48">
        <f>'Fælles adm.'!J115</f>
        <v>2793160.82</v>
      </c>
      <c r="L114" s="48">
        <f>Odense!J115</f>
        <v>2483935.6</v>
      </c>
      <c r="M114" s="48">
        <f>Laks!J115</f>
        <v>0</v>
      </c>
      <c r="N114" s="48">
        <f>Assens!J115</f>
        <v>906081.68</v>
      </c>
      <c r="O114" s="48">
        <f>Nyborg!J115</f>
        <v>183570.26</v>
      </c>
      <c r="P114" s="48">
        <f>Nordfyn!J115</f>
        <v>301472.32</v>
      </c>
      <c r="Q114" s="48">
        <f>Kerteminde!J115</f>
        <v>598941.16</v>
      </c>
      <c r="R114" s="48">
        <f>'Særlige tilskud'!J115</f>
        <v>0</v>
      </c>
    </row>
    <row r="115" spans="1:18" x14ac:dyDescent="0.25">
      <c r="A115" s="42" t="s">
        <v>184</v>
      </c>
      <c r="B115" s="42" t="s">
        <v>185</v>
      </c>
      <c r="C115" s="45">
        <v>1000952.81</v>
      </c>
      <c r="G115" s="45">
        <v>-1000952.81</v>
      </c>
      <c r="H115" s="48">
        <v>1000952.81</v>
      </c>
      <c r="I115" s="48">
        <f t="shared" si="1"/>
        <v>1000952.81</v>
      </c>
      <c r="K115" s="48">
        <f>'Fælles adm.'!J116</f>
        <v>277906</v>
      </c>
      <c r="L115" s="48">
        <f>Odense!J116</f>
        <v>227770</v>
      </c>
      <c r="M115" s="48">
        <f>Laks!J116</f>
        <v>0</v>
      </c>
      <c r="N115" s="48">
        <f>Assens!J116</f>
        <v>52438</v>
      </c>
      <c r="O115" s="48">
        <f>Nyborg!J116</f>
        <v>153686</v>
      </c>
      <c r="P115" s="48">
        <f>Nordfyn!J116</f>
        <v>59872</v>
      </c>
      <c r="Q115" s="48">
        <f>Kerteminde!J116</f>
        <v>229280.81</v>
      </c>
      <c r="R115" s="48">
        <f>'Særlige tilskud'!J116</f>
        <v>0</v>
      </c>
    </row>
    <row r="116" spans="1:18" x14ac:dyDescent="0.25">
      <c r="A116" s="42" t="s">
        <v>186</v>
      </c>
      <c r="B116" s="42" t="s">
        <v>187</v>
      </c>
      <c r="H116" s="48">
        <v>0</v>
      </c>
      <c r="I116" s="48">
        <f t="shared" si="1"/>
        <v>0</v>
      </c>
      <c r="K116" s="48">
        <f>'Fælles adm.'!J117</f>
        <v>0</v>
      </c>
      <c r="L116" s="48">
        <f>Odense!J117</f>
        <v>0</v>
      </c>
      <c r="M116" s="48">
        <f>Laks!J117</f>
        <v>0</v>
      </c>
      <c r="N116" s="48">
        <f>Assens!J117</f>
        <v>0</v>
      </c>
      <c r="O116" s="48">
        <f>Nyborg!J117</f>
        <v>0</v>
      </c>
      <c r="P116" s="48">
        <f>Nordfyn!J117</f>
        <v>0</v>
      </c>
      <c r="Q116" s="48">
        <f>Kerteminde!J117</f>
        <v>0</v>
      </c>
      <c r="R116" s="48">
        <f>'Særlige tilskud'!J117</f>
        <v>0</v>
      </c>
    </row>
    <row r="117" spans="1:18" x14ac:dyDescent="0.25">
      <c r="A117" s="42" t="s">
        <v>188</v>
      </c>
      <c r="B117" s="42" t="s">
        <v>189</v>
      </c>
      <c r="C117" s="45">
        <v>130088.37</v>
      </c>
      <c r="G117" s="45">
        <v>-130088.37</v>
      </c>
      <c r="H117" s="48">
        <v>130088.37</v>
      </c>
      <c r="I117" s="48">
        <f t="shared" si="1"/>
        <v>130088.37</v>
      </c>
      <c r="K117" s="48">
        <f>'Fælles adm.'!J118</f>
        <v>5705.86</v>
      </c>
      <c r="L117" s="48">
        <f>Odense!J118</f>
        <v>26946.71</v>
      </c>
      <c r="M117" s="48">
        <f>Laks!J118</f>
        <v>0</v>
      </c>
      <c r="N117" s="48">
        <f>Assens!J118</f>
        <v>0</v>
      </c>
      <c r="O117" s="48">
        <f>Nyborg!J118</f>
        <v>0</v>
      </c>
      <c r="P117" s="48">
        <f>Nordfyn!J118</f>
        <v>0</v>
      </c>
      <c r="Q117" s="48">
        <f>Kerteminde!J118</f>
        <v>97435.8</v>
      </c>
      <c r="R117" s="48">
        <f>'Særlige tilskud'!J118</f>
        <v>0</v>
      </c>
    </row>
    <row r="118" spans="1:18" x14ac:dyDescent="0.25">
      <c r="A118" s="42" t="s">
        <v>190</v>
      </c>
      <c r="B118" s="42" t="s">
        <v>191</v>
      </c>
      <c r="H118" s="48">
        <v>0</v>
      </c>
      <c r="I118" s="48">
        <f t="shared" si="1"/>
        <v>0</v>
      </c>
      <c r="K118" s="48">
        <f>'Fælles adm.'!J119</f>
        <v>0</v>
      </c>
      <c r="L118" s="48">
        <f>Odense!J119</f>
        <v>0</v>
      </c>
      <c r="M118" s="48">
        <f>Laks!J119</f>
        <v>0</v>
      </c>
      <c r="N118" s="48">
        <f>Assens!J119</f>
        <v>0</v>
      </c>
      <c r="O118" s="48">
        <f>Nyborg!J119</f>
        <v>0</v>
      </c>
      <c r="P118" s="48">
        <f>Nordfyn!J119</f>
        <v>0</v>
      </c>
      <c r="Q118" s="48">
        <f>Kerteminde!J119</f>
        <v>0</v>
      </c>
      <c r="R118" s="48">
        <f>'Særlige tilskud'!J119</f>
        <v>0</v>
      </c>
    </row>
    <row r="119" spans="1:18" x14ac:dyDescent="0.25">
      <c r="A119" s="42" t="s">
        <v>192</v>
      </c>
      <c r="B119" s="42" t="s">
        <v>193</v>
      </c>
      <c r="C119" s="45">
        <v>93154.92</v>
      </c>
      <c r="G119" s="45">
        <v>-93154.92</v>
      </c>
      <c r="H119" s="48">
        <v>93154.92</v>
      </c>
      <c r="I119" s="48">
        <f t="shared" si="1"/>
        <v>93154.92</v>
      </c>
      <c r="K119" s="48">
        <f>'Fælles adm.'!J120</f>
        <v>93154.92</v>
      </c>
      <c r="L119" s="48">
        <f>Odense!J120</f>
        <v>0</v>
      </c>
      <c r="M119" s="48">
        <f>Laks!J120</f>
        <v>0</v>
      </c>
      <c r="N119" s="48">
        <f>Assens!J120</f>
        <v>0</v>
      </c>
      <c r="O119" s="48">
        <f>Nyborg!J120</f>
        <v>0</v>
      </c>
      <c r="P119" s="48">
        <f>Nordfyn!J120</f>
        <v>0</v>
      </c>
      <c r="Q119" s="48">
        <f>Kerteminde!J120</f>
        <v>0</v>
      </c>
      <c r="R119" s="48">
        <f>'Særlige tilskud'!J120</f>
        <v>0</v>
      </c>
    </row>
    <row r="120" spans="1:18" x14ac:dyDescent="0.25">
      <c r="A120" s="42" t="s">
        <v>194</v>
      </c>
      <c r="B120" s="42" t="s">
        <v>195</v>
      </c>
      <c r="C120" s="45">
        <v>121482.11</v>
      </c>
      <c r="G120" s="45">
        <v>-121482.11</v>
      </c>
      <c r="H120" s="48">
        <v>121482.11</v>
      </c>
      <c r="I120" s="48">
        <f t="shared" si="1"/>
        <v>121482.11</v>
      </c>
      <c r="K120" s="48">
        <f>'Fælles adm.'!J121</f>
        <v>0</v>
      </c>
      <c r="L120" s="48">
        <f>Odense!J121</f>
        <v>121482.11</v>
      </c>
      <c r="M120" s="48">
        <f>Laks!J121</f>
        <v>0</v>
      </c>
      <c r="N120" s="48">
        <f>Assens!J121</f>
        <v>0</v>
      </c>
      <c r="O120" s="48">
        <f>Nyborg!J121</f>
        <v>0</v>
      </c>
      <c r="P120" s="48">
        <f>Nordfyn!J121</f>
        <v>0</v>
      </c>
      <c r="Q120" s="48">
        <f>Kerteminde!J121</f>
        <v>0</v>
      </c>
      <c r="R120" s="48">
        <f>'Særlige tilskud'!J121</f>
        <v>0</v>
      </c>
    </row>
    <row r="121" spans="1:18" x14ac:dyDescent="0.25">
      <c r="A121" s="43" t="s">
        <v>196</v>
      </c>
      <c r="B121" s="43" t="s">
        <v>197</v>
      </c>
      <c r="C121" s="46">
        <v>4979259.13</v>
      </c>
      <c r="D121" s="46">
        <v>5075121</v>
      </c>
      <c r="E121" s="46">
        <v>1.89</v>
      </c>
      <c r="F121" s="46">
        <v>98.11</v>
      </c>
      <c r="G121" s="46">
        <v>95861.87</v>
      </c>
      <c r="H121" s="5">
        <v>8612840.0499999989</v>
      </c>
      <c r="I121" s="5">
        <f t="shared" si="1"/>
        <v>8612840.0499999989</v>
      </c>
      <c r="K121" s="5">
        <f>'Fælles adm.'!J122</f>
        <v>3169927.5999999996</v>
      </c>
      <c r="L121" s="5">
        <f>Odense!J122</f>
        <v>2860134.42</v>
      </c>
      <c r="M121" s="5">
        <f>Laks!J122</f>
        <v>0</v>
      </c>
      <c r="N121" s="5">
        <f>Assens!J122</f>
        <v>958519.68</v>
      </c>
      <c r="O121" s="5">
        <f>Nyborg!J122</f>
        <v>337256.26</v>
      </c>
      <c r="P121" s="5">
        <f>Nordfyn!J122</f>
        <v>361344.32</v>
      </c>
      <c r="Q121" s="5">
        <f>Kerteminde!J122</f>
        <v>925657.77</v>
      </c>
      <c r="R121" s="5">
        <f>'Særlige tilskud'!J122</f>
        <v>0</v>
      </c>
    </row>
    <row r="122" spans="1:18" x14ac:dyDescent="0.25">
      <c r="A122" s="43" t="s">
        <v>198</v>
      </c>
      <c r="B122" s="43" t="s">
        <v>199</v>
      </c>
      <c r="C122" s="46">
        <v>-33063795.859999999</v>
      </c>
      <c r="D122" s="46">
        <v>-66770111.689999998</v>
      </c>
      <c r="E122" s="46">
        <v>50.48</v>
      </c>
      <c r="F122" s="46">
        <v>49.52</v>
      </c>
      <c r="G122" s="46">
        <v>-33706315.829999998</v>
      </c>
      <c r="H122" s="5">
        <v>-60585770.510000005</v>
      </c>
      <c r="I122" s="5">
        <f t="shared" si="1"/>
        <v>-47337370.579999998</v>
      </c>
      <c r="K122" s="5">
        <f>'Fælles adm.'!J123</f>
        <v>-4952603.4100000011</v>
      </c>
      <c r="L122" s="5">
        <f>Odense!J123</f>
        <v>-14766934.760000002</v>
      </c>
      <c r="M122" s="5">
        <f>Laks!J123</f>
        <v>-1604499.3900000001</v>
      </c>
      <c r="N122" s="5">
        <f>Assens!J123</f>
        <v>-5416680.3099999996</v>
      </c>
      <c r="O122" s="5">
        <f>Nyborg!J123</f>
        <v>-7101964.2399999993</v>
      </c>
      <c r="P122" s="5">
        <f>Nordfyn!J123</f>
        <v>-6398765.1200000001</v>
      </c>
      <c r="Q122" s="5">
        <f>Kerteminde!J123</f>
        <v>-7095923.3499999996</v>
      </c>
      <c r="R122" s="5">
        <f>'Særlige tilskud'!J123</f>
        <v>0</v>
      </c>
    </row>
    <row r="123" spans="1:18" x14ac:dyDescent="0.25">
      <c r="A123" s="42" t="s">
        <v>12</v>
      </c>
      <c r="B123" s="42" t="s">
        <v>12</v>
      </c>
      <c r="H123" s="48"/>
      <c r="I123" s="48">
        <f t="shared" si="1"/>
        <v>0</v>
      </c>
      <c r="K123" s="48">
        <f>'Fælles adm.'!J124</f>
        <v>0</v>
      </c>
      <c r="L123" s="48">
        <f>Odense!J124</f>
        <v>0</v>
      </c>
      <c r="M123" s="48">
        <f>Laks!J124</f>
        <v>0</v>
      </c>
      <c r="N123" s="48">
        <f>Assens!J124</f>
        <v>0</v>
      </c>
      <c r="O123" s="48">
        <f>Nyborg!J124</f>
        <v>0</v>
      </c>
      <c r="P123" s="48">
        <f>Nordfyn!J124</f>
        <v>0</v>
      </c>
      <c r="Q123" s="48">
        <f>Kerteminde!J124</f>
        <v>0</v>
      </c>
      <c r="R123" s="48">
        <f>'Særlige tilskud'!J124</f>
        <v>0</v>
      </c>
    </row>
    <row r="124" spans="1:18" x14ac:dyDescent="0.25">
      <c r="A124" s="43" t="s">
        <v>200</v>
      </c>
      <c r="B124" s="43" t="s">
        <v>201</v>
      </c>
      <c r="C124" s="46">
        <v>-33523026</v>
      </c>
      <c r="D124" s="46">
        <v>-67821717.689999998</v>
      </c>
      <c r="E124" s="46">
        <v>50.57</v>
      </c>
      <c r="F124" s="46">
        <v>49.43</v>
      </c>
      <c r="G124" s="46">
        <v>-34298691.689999998</v>
      </c>
      <c r="H124" s="5">
        <v>-61448036.320000008</v>
      </c>
      <c r="I124" s="5">
        <f t="shared" si="1"/>
        <v>-48188252.550000004</v>
      </c>
      <c r="K124" s="5">
        <f>'Fælles adm.'!J125</f>
        <v>-4952603.4100000011</v>
      </c>
      <c r="L124" s="5">
        <f>Odense!J125</f>
        <v>-14780479.630000001</v>
      </c>
      <c r="M124" s="5">
        <f>Laks!J125</f>
        <v>-1609995.79</v>
      </c>
      <c r="N124" s="5">
        <f>Assens!J125</f>
        <v>-5585079.7599999998</v>
      </c>
      <c r="O124" s="5">
        <f>Nyborg!J125</f>
        <v>-7268818.4899999993</v>
      </c>
      <c r="P124" s="5">
        <f>Nordfyn!J125</f>
        <v>-6712092.1200000001</v>
      </c>
      <c r="Q124" s="5">
        <f>Kerteminde!J125</f>
        <v>-7279183.3499999996</v>
      </c>
      <c r="R124" s="5">
        <f>'Særlige tilskud'!J125</f>
        <v>0</v>
      </c>
    </row>
    <row r="125" spans="1:18" x14ac:dyDescent="0.25">
      <c r="A125" s="42" t="s">
        <v>12</v>
      </c>
      <c r="B125" s="42" t="s">
        <v>12</v>
      </c>
      <c r="H125" s="48"/>
      <c r="I125" s="48">
        <f t="shared" si="1"/>
        <v>0</v>
      </c>
      <c r="K125" s="48">
        <f>'Fælles adm.'!J126</f>
        <v>0</v>
      </c>
      <c r="L125" s="48">
        <f>Odense!J126</f>
        <v>0</v>
      </c>
      <c r="M125" s="48">
        <f>Laks!J126</f>
        <v>0</v>
      </c>
      <c r="N125" s="48">
        <f>Assens!J126</f>
        <v>0</v>
      </c>
      <c r="O125" s="48">
        <f>Nyborg!J126</f>
        <v>0</v>
      </c>
      <c r="P125" s="48">
        <f>Nordfyn!J126</f>
        <v>0</v>
      </c>
      <c r="Q125" s="48">
        <f>Kerteminde!J126</f>
        <v>0</v>
      </c>
      <c r="R125" s="48">
        <f>'Særlige tilskud'!J126</f>
        <v>0</v>
      </c>
    </row>
    <row r="126" spans="1:18" x14ac:dyDescent="0.25">
      <c r="A126" s="43" t="s">
        <v>202</v>
      </c>
      <c r="B126" s="43" t="s">
        <v>203</v>
      </c>
      <c r="C126" s="46">
        <v>16726808.02</v>
      </c>
      <c r="D126" s="46">
        <v>28765554.489999998</v>
      </c>
      <c r="E126" s="46">
        <v>41.85</v>
      </c>
      <c r="F126" s="46">
        <v>58.15</v>
      </c>
      <c r="G126" s="46">
        <v>12038746.470000001</v>
      </c>
      <c r="H126" s="5">
        <v>24615818.139999993</v>
      </c>
      <c r="I126" s="5">
        <f t="shared" si="1"/>
        <v>28688346.200000003</v>
      </c>
      <c r="K126" s="5">
        <f>'Fælles adm.'!J127</f>
        <v>-2725753.4100000011</v>
      </c>
      <c r="L126" s="5">
        <f>Odense!J127</f>
        <v>9912637.9700000007</v>
      </c>
      <c r="M126" s="5">
        <f>Laks!J127</f>
        <v>1431504.21</v>
      </c>
      <c r="N126" s="5">
        <f>Assens!J127</f>
        <v>5445929.040000001</v>
      </c>
      <c r="O126" s="5">
        <f>Nyborg!J127</f>
        <v>3993072.5600000015</v>
      </c>
      <c r="P126" s="5">
        <f>Nordfyn!J127</f>
        <v>5279628.38</v>
      </c>
      <c r="Q126" s="5">
        <f>Kerteminde!J127</f>
        <v>3351327.4500000011</v>
      </c>
      <c r="R126" s="5">
        <f>'Særlige tilskud'!J127</f>
        <v>2000000</v>
      </c>
    </row>
    <row r="127" spans="1:18" x14ac:dyDescent="0.25">
      <c r="A127" s="42" t="s">
        <v>12</v>
      </c>
      <c r="B127" s="42" t="s">
        <v>12</v>
      </c>
      <c r="H127" s="48"/>
      <c r="I127" s="48">
        <f t="shared" si="1"/>
        <v>0</v>
      </c>
      <c r="K127" s="48">
        <f>'Fælles adm.'!J128</f>
        <v>0</v>
      </c>
      <c r="L127" s="48">
        <f>Odense!J128</f>
        <v>0</v>
      </c>
      <c r="M127" s="48">
        <f>Laks!J128</f>
        <v>0</v>
      </c>
      <c r="N127" s="48">
        <f>Assens!J128</f>
        <v>0</v>
      </c>
      <c r="O127" s="48">
        <f>Nyborg!J128</f>
        <v>0</v>
      </c>
      <c r="P127" s="48">
        <f>Nordfyn!J128</f>
        <v>0</v>
      </c>
      <c r="Q127" s="48">
        <f>Kerteminde!J128</f>
        <v>0</v>
      </c>
      <c r="R127" s="48">
        <f>'Særlige tilskud'!J128</f>
        <v>0</v>
      </c>
    </row>
    <row r="128" spans="1:18" x14ac:dyDescent="0.25">
      <c r="A128" s="43" t="s">
        <v>204</v>
      </c>
      <c r="B128" s="43" t="s">
        <v>205</v>
      </c>
      <c r="C128" s="46"/>
      <c r="D128" s="46"/>
      <c r="E128" s="46"/>
      <c r="F128" s="46"/>
      <c r="G128" s="46"/>
      <c r="H128" s="5"/>
      <c r="I128" s="5">
        <f t="shared" si="1"/>
        <v>0</v>
      </c>
      <c r="K128" s="5">
        <f>'Fælles adm.'!J129</f>
        <v>0</v>
      </c>
      <c r="L128" s="5">
        <f>Odense!J129</f>
        <v>0</v>
      </c>
      <c r="M128" s="5">
        <f>Laks!J129</f>
        <v>0</v>
      </c>
      <c r="N128" s="5">
        <f>Assens!J129</f>
        <v>0</v>
      </c>
      <c r="O128" s="5">
        <f>Nyborg!J129</f>
        <v>0</v>
      </c>
      <c r="P128" s="5">
        <f>Nordfyn!J129</f>
        <v>0</v>
      </c>
      <c r="Q128" s="5">
        <f>Kerteminde!J129</f>
        <v>0</v>
      </c>
      <c r="R128" s="5">
        <f>'Særlige tilskud'!J129</f>
        <v>0</v>
      </c>
    </row>
    <row r="129" spans="1:18" x14ac:dyDescent="0.25">
      <c r="A129" s="42" t="s">
        <v>206</v>
      </c>
      <c r="B129" s="42" t="s">
        <v>207</v>
      </c>
      <c r="C129" s="45">
        <v>67544.899999999994</v>
      </c>
      <c r="D129" s="45">
        <v>580143.63</v>
      </c>
      <c r="E129" s="45">
        <v>88.36</v>
      </c>
      <c r="F129" s="45">
        <v>11.64</v>
      </c>
      <c r="G129" s="45">
        <v>512598.73</v>
      </c>
      <c r="H129" s="48">
        <v>580143.63</v>
      </c>
      <c r="I129" s="48">
        <f t="shared" si="1"/>
        <v>580143.63</v>
      </c>
      <c r="K129" s="48">
        <f>'Fælles adm.'!J130</f>
        <v>42259.63</v>
      </c>
      <c r="L129" s="48">
        <f>Odense!J130</f>
        <v>165880</v>
      </c>
      <c r="M129" s="48">
        <f>Laks!J130</f>
        <v>0</v>
      </c>
      <c r="N129" s="48">
        <f>Assens!J130</f>
        <v>116100</v>
      </c>
      <c r="O129" s="48">
        <f>Nyborg!J130</f>
        <v>50000</v>
      </c>
      <c r="P129" s="48">
        <f>Nordfyn!J130</f>
        <v>103200</v>
      </c>
      <c r="Q129" s="48">
        <f>Kerteminde!J130</f>
        <v>102704</v>
      </c>
      <c r="R129" s="48">
        <f>'Særlige tilskud'!J130</f>
        <v>0</v>
      </c>
    </row>
    <row r="130" spans="1:18" x14ac:dyDescent="0.25">
      <c r="A130" s="42" t="s">
        <v>208</v>
      </c>
      <c r="B130" s="42" t="s">
        <v>209</v>
      </c>
      <c r="C130" s="45">
        <v>1103518.27</v>
      </c>
      <c r="D130" s="45">
        <v>83204.73</v>
      </c>
      <c r="E130" s="45">
        <v>-1226.27</v>
      </c>
      <c r="F130" s="45">
        <v>1326.27</v>
      </c>
      <c r="G130" s="45">
        <v>-1020313.54</v>
      </c>
      <c r="H130" s="48">
        <v>1103518.2700000005</v>
      </c>
      <c r="I130" s="48">
        <f t="shared" si="1"/>
        <v>0</v>
      </c>
      <c r="K130" s="48">
        <f>'Fælles adm.'!J131</f>
        <v>0</v>
      </c>
      <c r="L130" s="48">
        <f>Odense!J131</f>
        <v>0</v>
      </c>
      <c r="M130" s="48">
        <f>Laks!J131</f>
        <v>0</v>
      </c>
      <c r="N130" s="48">
        <f>Assens!J131</f>
        <v>0</v>
      </c>
      <c r="O130" s="48">
        <f>Nyborg!J131</f>
        <v>0</v>
      </c>
      <c r="P130" s="48">
        <f>Nordfyn!J131</f>
        <v>0</v>
      </c>
      <c r="Q130" s="48">
        <f>Kerteminde!J131</f>
        <v>0</v>
      </c>
      <c r="R130" s="48">
        <f>'Særlige tilskud'!J131</f>
        <v>0</v>
      </c>
    </row>
    <row r="131" spans="1:18" x14ac:dyDescent="0.25">
      <c r="A131" s="42" t="s">
        <v>210</v>
      </c>
      <c r="B131" s="42" t="s">
        <v>211</v>
      </c>
      <c r="D131" s="45">
        <v>150000</v>
      </c>
      <c r="E131" s="45">
        <v>100</v>
      </c>
      <c r="G131" s="45">
        <v>150000</v>
      </c>
      <c r="H131" s="48">
        <v>0</v>
      </c>
      <c r="I131" s="48">
        <f t="shared" si="1"/>
        <v>0</v>
      </c>
      <c r="K131" s="48">
        <f>'Fælles adm.'!J132</f>
        <v>0</v>
      </c>
      <c r="L131" s="48">
        <f>Odense!J132</f>
        <v>0</v>
      </c>
      <c r="M131" s="48">
        <f>Laks!J132</f>
        <v>0</v>
      </c>
      <c r="N131" s="48">
        <f>Assens!J132</f>
        <v>0</v>
      </c>
      <c r="O131" s="48">
        <f>Nyborg!J132</f>
        <v>0</v>
      </c>
      <c r="P131" s="48">
        <f>Nordfyn!J132</f>
        <v>0</v>
      </c>
      <c r="Q131" s="48">
        <f>Kerteminde!J132</f>
        <v>0</v>
      </c>
      <c r="R131" s="48">
        <f>'Særlige tilskud'!J132</f>
        <v>0</v>
      </c>
    </row>
    <row r="132" spans="1:18" x14ac:dyDescent="0.25">
      <c r="A132" s="42" t="s">
        <v>212</v>
      </c>
      <c r="B132" s="42" t="s">
        <v>213</v>
      </c>
      <c r="H132" s="48">
        <v>0</v>
      </c>
      <c r="I132" s="48">
        <f t="shared" si="1"/>
        <v>0</v>
      </c>
      <c r="K132" s="48">
        <f>'Fælles adm.'!J133</f>
        <v>0</v>
      </c>
      <c r="L132" s="48">
        <f>Odense!J133</f>
        <v>0</v>
      </c>
      <c r="M132" s="48">
        <f>Laks!J133</f>
        <v>0</v>
      </c>
      <c r="N132" s="48">
        <f>Assens!J133</f>
        <v>0</v>
      </c>
      <c r="O132" s="48">
        <f>Nyborg!J133</f>
        <v>0</v>
      </c>
      <c r="P132" s="48">
        <f>Nordfyn!J133</f>
        <v>0</v>
      </c>
      <c r="Q132" s="48">
        <f>Kerteminde!J133</f>
        <v>0</v>
      </c>
      <c r="R132" s="48">
        <f>'Særlige tilskud'!J133</f>
        <v>0</v>
      </c>
    </row>
    <row r="133" spans="1:18" x14ac:dyDescent="0.25">
      <c r="A133" s="42" t="s">
        <v>214</v>
      </c>
      <c r="B133" s="42" t="s">
        <v>215</v>
      </c>
      <c r="H133" s="48">
        <v>0</v>
      </c>
      <c r="I133" s="48">
        <f t="shared" si="1"/>
        <v>0</v>
      </c>
      <c r="K133" s="48">
        <f>'Fælles adm.'!J134</f>
        <v>0</v>
      </c>
      <c r="L133" s="48">
        <f>Odense!J134</f>
        <v>0</v>
      </c>
      <c r="M133" s="48">
        <f>Laks!J134</f>
        <v>0</v>
      </c>
      <c r="N133" s="48">
        <f>Assens!J134</f>
        <v>0</v>
      </c>
      <c r="O133" s="48">
        <f>Nyborg!J134</f>
        <v>0</v>
      </c>
      <c r="P133" s="48">
        <f>Nordfyn!J134</f>
        <v>0</v>
      </c>
      <c r="Q133" s="48">
        <f>Kerteminde!J134</f>
        <v>0</v>
      </c>
      <c r="R133" s="48">
        <f>'Særlige tilskud'!J134</f>
        <v>0</v>
      </c>
    </row>
    <row r="134" spans="1:18" x14ac:dyDescent="0.25">
      <c r="A134" s="42" t="s">
        <v>216</v>
      </c>
      <c r="B134" s="42" t="s">
        <v>217</v>
      </c>
      <c r="C134" s="45">
        <v>15000</v>
      </c>
      <c r="G134" s="45">
        <v>-15000</v>
      </c>
      <c r="H134" s="48">
        <v>15000</v>
      </c>
      <c r="I134" s="48">
        <f t="shared" si="1"/>
        <v>0</v>
      </c>
      <c r="K134" s="48">
        <f>'Fælles adm.'!J135</f>
        <v>0</v>
      </c>
      <c r="L134" s="48">
        <f>Odense!J135</f>
        <v>0</v>
      </c>
      <c r="M134" s="48">
        <f>Laks!J135</f>
        <v>0</v>
      </c>
      <c r="N134" s="48">
        <f>Assens!J135</f>
        <v>0</v>
      </c>
      <c r="O134" s="48">
        <f>Nyborg!J135</f>
        <v>0</v>
      </c>
      <c r="P134" s="48">
        <f>Nordfyn!J135</f>
        <v>0</v>
      </c>
      <c r="Q134" s="48">
        <f>Kerteminde!J135</f>
        <v>0</v>
      </c>
      <c r="R134" s="48">
        <f>'Særlige tilskud'!J135</f>
        <v>0</v>
      </c>
    </row>
    <row r="135" spans="1:18" x14ac:dyDescent="0.25">
      <c r="A135" s="43" t="s">
        <v>218</v>
      </c>
      <c r="B135" s="43" t="s">
        <v>219</v>
      </c>
      <c r="C135" s="46">
        <v>1186063.17</v>
      </c>
      <c r="D135" s="46">
        <v>813348.36</v>
      </c>
      <c r="E135" s="46">
        <v>-45.82</v>
      </c>
      <c r="F135" s="46">
        <v>145.82</v>
      </c>
      <c r="G135" s="46">
        <v>-372714.81</v>
      </c>
      <c r="H135" s="5">
        <v>1698661.9</v>
      </c>
      <c r="I135" s="5">
        <f t="shared" si="1"/>
        <v>580143.63</v>
      </c>
      <c r="K135" s="5">
        <f>'Fælles adm.'!J136</f>
        <v>42259.63</v>
      </c>
      <c r="L135" s="5">
        <f>Odense!J136</f>
        <v>165880</v>
      </c>
      <c r="M135" s="5">
        <f>Laks!J136</f>
        <v>0</v>
      </c>
      <c r="N135" s="5">
        <f>Assens!J136</f>
        <v>116100</v>
      </c>
      <c r="O135" s="5">
        <f>Nyborg!J136</f>
        <v>50000</v>
      </c>
      <c r="P135" s="5">
        <f>Nordfyn!J136</f>
        <v>103200</v>
      </c>
      <c r="Q135" s="5">
        <f>Kerteminde!J136</f>
        <v>102704</v>
      </c>
      <c r="R135" s="5">
        <f>'Særlige tilskud'!J136</f>
        <v>0</v>
      </c>
    </row>
    <row r="136" spans="1:18" x14ac:dyDescent="0.25">
      <c r="A136" s="42" t="s">
        <v>12</v>
      </c>
      <c r="B136" s="42" t="s">
        <v>12</v>
      </c>
      <c r="H136" s="48"/>
      <c r="I136" s="48">
        <f t="shared" si="1"/>
        <v>0</v>
      </c>
      <c r="K136" s="48">
        <f>'Fælles adm.'!J137</f>
        <v>0</v>
      </c>
      <c r="L136" s="48">
        <f>Odense!J137</f>
        <v>0</v>
      </c>
      <c r="M136" s="48">
        <f>Laks!J137</f>
        <v>0</v>
      </c>
      <c r="N136" s="48">
        <f>Assens!J137</f>
        <v>0</v>
      </c>
      <c r="O136" s="48">
        <f>Nyborg!J137</f>
        <v>0</v>
      </c>
      <c r="P136" s="48">
        <f>Nordfyn!J137</f>
        <v>0</v>
      </c>
      <c r="Q136" s="48">
        <f>Kerteminde!J137</f>
        <v>0</v>
      </c>
      <c r="R136" s="48">
        <f>'Særlige tilskud'!J137</f>
        <v>0</v>
      </c>
    </row>
    <row r="137" spans="1:18" x14ac:dyDescent="0.25">
      <c r="A137" s="43" t="s">
        <v>220</v>
      </c>
      <c r="B137" s="43" t="s">
        <v>221</v>
      </c>
      <c r="C137" s="46"/>
      <c r="D137" s="46"/>
      <c r="E137" s="46"/>
      <c r="F137" s="46"/>
      <c r="G137" s="46"/>
      <c r="H137" s="5"/>
      <c r="I137" s="5">
        <f t="shared" si="1"/>
        <v>0</v>
      </c>
      <c r="K137" s="5">
        <f>'Fælles adm.'!J138</f>
        <v>0</v>
      </c>
      <c r="L137" s="5">
        <f>Odense!J138</f>
        <v>0</v>
      </c>
      <c r="M137" s="5">
        <f>Laks!J138</f>
        <v>0</v>
      </c>
      <c r="N137" s="5">
        <f>Assens!J138</f>
        <v>0</v>
      </c>
      <c r="O137" s="5">
        <f>Nyborg!J138</f>
        <v>0</v>
      </c>
      <c r="P137" s="5">
        <f>Nordfyn!J138</f>
        <v>0</v>
      </c>
      <c r="Q137" s="5">
        <f>Kerteminde!J138</f>
        <v>0</v>
      </c>
      <c r="R137" s="5">
        <f>'Særlige tilskud'!J138</f>
        <v>0</v>
      </c>
    </row>
    <row r="138" spans="1:18" x14ac:dyDescent="0.25">
      <c r="A138" s="42" t="s">
        <v>222</v>
      </c>
      <c r="B138" s="42" t="s">
        <v>223</v>
      </c>
      <c r="D138" s="45">
        <v>-4000000</v>
      </c>
      <c r="E138" s="45">
        <v>100</v>
      </c>
      <c r="G138" s="45">
        <v>-4000000</v>
      </c>
      <c r="H138" s="48">
        <v>-2000000</v>
      </c>
      <c r="I138" s="48">
        <f t="shared" si="1"/>
        <v>-4000000</v>
      </c>
      <c r="K138" s="48">
        <f>'Fælles adm.'!J139</f>
        <v>0</v>
      </c>
      <c r="L138" s="48">
        <f>Odense!J139</f>
        <v>0</v>
      </c>
      <c r="M138" s="48">
        <f>Laks!J139</f>
        <v>0</v>
      </c>
      <c r="N138" s="48">
        <f>Assens!J139</f>
        <v>0</v>
      </c>
      <c r="O138" s="48">
        <f>Nyborg!J139</f>
        <v>0</v>
      </c>
      <c r="P138" s="48">
        <f>Nordfyn!J139</f>
        <v>0</v>
      </c>
      <c r="Q138" s="48">
        <f>Kerteminde!J139</f>
        <v>0</v>
      </c>
      <c r="R138" s="48">
        <f>'Særlige tilskud'!J139</f>
        <v>-4000000</v>
      </c>
    </row>
    <row r="139" spans="1:18" x14ac:dyDescent="0.25">
      <c r="A139" s="42" t="s">
        <v>224</v>
      </c>
      <c r="B139" s="42" t="s">
        <v>225</v>
      </c>
      <c r="H139" s="48">
        <v>0</v>
      </c>
      <c r="I139" s="48">
        <f t="shared" ref="I139:I202" si="2">SUM(K139:R139)</f>
        <v>0</v>
      </c>
      <c r="K139" s="48">
        <f>'Fælles adm.'!J140</f>
        <v>0</v>
      </c>
      <c r="L139" s="48">
        <f>Odense!J140</f>
        <v>0</v>
      </c>
      <c r="M139" s="48">
        <f>Laks!J140</f>
        <v>0</v>
      </c>
      <c r="N139" s="48">
        <f>Assens!J140</f>
        <v>0</v>
      </c>
      <c r="O139" s="48">
        <f>Nyborg!J140</f>
        <v>0</v>
      </c>
      <c r="P139" s="48">
        <f>Nordfyn!J140</f>
        <v>0</v>
      </c>
      <c r="Q139" s="48">
        <f>Kerteminde!J140</f>
        <v>0</v>
      </c>
      <c r="R139" s="48">
        <f>'Særlige tilskud'!J140</f>
        <v>0</v>
      </c>
    </row>
    <row r="140" spans="1:18" x14ac:dyDescent="0.25">
      <c r="A140" s="42" t="s">
        <v>226</v>
      </c>
      <c r="B140" s="42" t="s">
        <v>227</v>
      </c>
      <c r="C140" s="45">
        <v>-2035138.09</v>
      </c>
      <c r="D140" s="45">
        <v>-3926274.64</v>
      </c>
      <c r="E140" s="45">
        <v>48.17</v>
      </c>
      <c r="F140" s="45">
        <v>51.83</v>
      </c>
      <c r="G140" s="45">
        <v>-1891136.55</v>
      </c>
      <c r="H140" s="48">
        <v>-9974209.9399999976</v>
      </c>
      <c r="I140" s="48">
        <f t="shared" si="2"/>
        <v>-12265947.65</v>
      </c>
      <c r="K140" s="48">
        <f>'Fælles adm.'!J141</f>
        <v>0</v>
      </c>
      <c r="L140" s="48">
        <f>Odense!J141</f>
        <v>-4483203.8660749998</v>
      </c>
      <c r="M140" s="48">
        <f>Laks!J141</f>
        <v>0</v>
      </c>
      <c r="N140" s="48">
        <f>Assens!J141</f>
        <v>-1784695.383075</v>
      </c>
      <c r="O140" s="48">
        <f>Nyborg!J141</f>
        <v>-2052093.0418450001</v>
      </c>
      <c r="P140" s="48">
        <f>Nordfyn!J141</f>
        <v>-2118329.159155</v>
      </c>
      <c r="Q140" s="48">
        <f>Kerteminde!J141</f>
        <v>-1827626.19985</v>
      </c>
      <c r="R140" s="48">
        <f>'Særlige tilskud'!J141</f>
        <v>0</v>
      </c>
    </row>
    <row r="141" spans="1:18" x14ac:dyDescent="0.25">
      <c r="A141" s="42" t="s">
        <v>228</v>
      </c>
      <c r="B141" s="42" t="s">
        <v>229</v>
      </c>
      <c r="C141" s="45">
        <v>2035138.09</v>
      </c>
      <c r="D141" s="45">
        <v>3926274.64</v>
      </c>
      <c r="E141" s="45">
        <v>48.17</v>
      </c>
      <c r="F141" s="45">
        <v>51.83</v>
      </c>
      <c r="G141" s="45">
        <v>1891136.55</v>
      </c>
      <c r="H141" s="48">
        <v>9974209.9399999976</v>
      </c>
      <c r="I141" s="48">
        <f t="shared" si="2"/>
        <v>12265947.65</v>
      </c>
      <c r="K141" s="48">
        <f>'Fælles adm.'!J142</f>
        <v>12265947.65</v>
      </c>
      <c r="L141" s="48">
        <f>Odense!J142</f>
        <v>0</v>
      </c>
      <c r="M141" s="48">
        <f>Laks!J142</f>
        <v>0</v>
      </c>
      <c r="N141" s="48">
        <f>Assens!J142</f>
        <v>0</v>
      </c>
      <c r="O141" s="48">
        <f>Nyborg!J142</f>
        <v>0</v>
      </c>
      <c r="P141" s="48">
        <f>Nordfyn!J142</f>
        <v>0</v>
      </c>
      <c r="Q141" s="48">
        <f>Kerteminde!J142</f>
        <v>0</v>
      </c>
      <c r="R141" s="48">
        <f>'Særlige tilskud'!J142</f>
        <v>0</v>
      </c>
    </row>
    <row r="142" spans="1:18" x14ac:dyDescent="0.25">
      <c r="A142" s="42" t="s">
        <v>230</v>
      </c>
      <c r="B142" s="42" t="s">
        <v>231</v>
      </c>
      <c r="C142" s="45">
        <v>-4140.8</v>
      </c>
      <c r="D142" s="45">
        <v>-7000</v>
      </c>
      <c r="E142" s="45">
        <v>40.85</v>
      </c>
      <c r="F142" s="45">
        <v>59.15</v>
      </c>
      <c r="G142" s="45">
        <v>-2859.2</v>
      </c>
      <c r="H142" s="48">
        <v>-10260.799999999999</v>
      </c>
      <c r="I142" s="48">
        <f t="shared" si="2"/>
        <v>0</v>
      </c>
      <c r="K142" s="48">
        <f>'Fælles adm.'!J143</f>
        <v>0</v>
      </c>
      <c r="L142" s="48">
        <f>Odense!J143</f>
        <v>0</v>
      </c>
      <c r="M142" s="48">
        <f>Laks!J143</f>
        <v>0</v>
      </c>
      <c r="N142" s="48">
        <f>Assens!J143</f>
        <v>0</v>
      </c>
      <c r="O142" s="48">
        <f>Nyborg!J143</f>
        <v>0</v>
      </c>
      <c r="P142" s="48">
        <f>Nordfyn!J143</f>
        <v>0</v>
      </c>
      <c r="Q142" s="48">
        <f>Kerteminde!J143</f>
        <v>0</v>
      </c>
      <c r="R142" s="48">
        <f>'Særlige tilskud'!J143</f>
        <v>0</v>
      </c>
    </row>
    <row r="143" spans="1:18" x14ac:dyDescent="0.25">
      <c r="A143" s="42" t="s">
        <v>232</v>
      </c>
      <c r="B143" s="42" t="s">
        <v>233</v>
      </c>
      <c r="C143" s="45">
        <v>-29987.16</v>
      </c>
      <c r="D143" s="45">
        <v>-274000</v>
      </c>
      <c r="E143" s="45">
        <v>89.06</v>
      </c>
      <c r="F143" s="45">
        <v>10.94</v>
      </c>
      <c r="G143" s="45">
        <v>-244012.84</v>
      </c>
      <c r="H143" s="48">
        <v>-274000</v>
      </c>
      <c r="I143" s="48">
        <f t="shared" si="2"/>
        <v>-191000</v>
      </c>
      <c r="K143" s="48">
        <f>'Fælles adm.'!J144</f>
        <v>-70000</v>
      </c>
      <c r="L143" s="48">
        <f>Odense!J144</f>
        <v>-46000</v>
      </c>
      <c r="M143" s="48">
        <f>Laks!J144</f>
        <v>-10000</v>
      </c>
      <c r="N143" s="48">
        <f>Assens!J144</f>
        <v>-20000</v>
      </c>
      <c r="O143" s="48">
        <f>Nyborg!J144</f>
        <v>-15000</v>
      </c>
      <c r="P143" s="48">
        <f>Nordfyn!J144</f>
        <v>-15000</v>
      </c>
      <c r="Q143" s="48">
        <f>Kerteminde!J144</f>
        <v>-15000</v>
      </c>
      <c r="R143" s="48">
        <f>'Særlige tilskud'!J144</f>
        <v>0</v>
      </c>
    </row>
    <row r="144" spans="1:18" x14ac:dyDescent="0.25">
      <c r="A144" s="42" t="s">
        <v>234</v>
      </c>
      <c r="B144" s="42" t="s">
        <v>235</v>
      </c>
      <c r="D144" s="45">
        <v>-25000</v>
      </c>
      <c r="E144" s="45">
        <v>100</v>
      </c>
      <c r="G144" s="45">
        <v>-25000</v>
      </c>
      <c r="H144" s="48">
        <v>-25000</v>
      </c>
      <c r="I144" s="48">
        <f t="shared" si="2"/>
        <v>-25000</v>
      </c>
      <c r="K144" s="48">
        <f>'Fælles adm.'!J145</f>
        <v>0</v>
      </c>
      <c r="L144" s="48">
        <f>Odense!J145</f>
        <v>-5000</v>
      </c>
      <c r="M144" s="48">
        <f>Laks!J145</f>
        <v>0</v>
      </c>
      <c r="N144" s="48">
        <f>Assens!J145</f>
        <v>-5000</v>
      </c>
      <c r="O144" s="48">
        <f>Nyborg!J145</f>
        <v>-5000</v>
      </c>
      <c r="P144" s="48">
        <f>Nordfyn!J145</f>
        <v>-5000</v>
      </c>
      <c r="Q144" s="48">
        <f>Kerteminde!J145</f>
        <v>-5000</v>
      </c>
      <c r="R144" s="48">
        <f>'Særlige tilskud'!J145</f>
        <v>0</v>
      </c>
    </row>
    <row r="145" spans="1:18" x14ac:dyDescent="0.25">
      <c r="A145" s="42" t="s">
        <v>236</v>
      </c>
      <c r="B145" s="42" t="s">
        <v>237</v>
      </c>
      <c r="C145" s="45">
        <v>-5782.94</v>
      </c>
      <c r="D145" s="45">
        <v>-35000</v>
      </c>
      <c r="E145" s="45">
        <v>83.48</v>
      </c>
      <c r="F145" s="45">
        <v>16.52</v>
      </c>
      <c r="G145" s="45">
        <v>-29217.06</v>
      </c>
      <c r="H145" s="48">
        <v>-35299.199999999997</v>
      </c>
      <c r="I145" s="48">
        <f t="shared" si="2"/>
        <v>-30000</v>
      </c>
      <c r="K145" s="48">
        <f>'Fælles adm.'!J146</f>
        <v>0</v>
      </c>
      <c r="L145" s="48">
        <f>Odense!J146</f>
        <v>-5000</v>
      </c>
      <c r="M145" s="48">
        <f>Laks!J146</f>
        <v>-5000</v>
      </c>
      <c r="N145" s="48">
        <f>Assens!J146</f>
        <v>-5000</v>
      </c>
      <c r="O145" s="48">
        <f>Nyborg!J146</f>
        <v>-5000</v>
      </c>
      <c r="P145" s="48">
        <f>Nordfyn!J146</f>
        <v>-5000</v>
      </c>
      <c r="Q145" s="48">
        <f>Kerteminde!J146</f>
        <v>-5000</v>
      </c>
      <c r="R145" s="48">
        <f>'Særlige tilskud'!J146</f>
        <v>0</v>
      </c>
    </row>
    <row r="146" spans="1:18" x14ac:dyDescent="0.25">
      <c r="A146" s="42" t="s">
        <v>238</v>
      </c>
      <c r="B146" s="42" t="s">
        <v>239</v>
      </c>
      <c r="C146" s="45">
        <v>-28318.55</v>
      </c>
      <c r="D146" s="45">
        <v>-63506.63</v>
      </c>
      <c r="E146" s="45">
        <v>55.41</v>
      </c>
      <c r="F146" s="45">
        <v>44.59</v>
      </c>
      <c r="G146" s="45">
        <v>-35188.080000000002</v>
      </c>
      <c r="H146" s="48">
        <v>-71692.2</v>
      </c>
      <c r="I146" s="48">
        <f t="shared" si="2"/>
        <v>-49000</v>
      </c>
      <c r="K146" s="48">
        <f>'Fælles adm.'!J147</f>
        <v>-25000</v>
      </c>
      <c r="L146" s="48">
        <f>Odense!J147</f>
        <v>-4000</v>
      </c>
      <c r="M146" s="48">
        <f>Laks!J147</f>
        <v>-4000</v>
      </c>
      <c r="N146" s="48">
        <f>Assens!J147</f>
        <v>-4000</v>
      </c>
      <c r="O146" s="48">
        <f>Nyborg!J147</f>
        <v>-4000</v>
      </c>
      <c r="P146" s="48">
        <f>Nordfyn!J147</f>
        <v>-4000</v>
      </c>
      <c r="Q146" s="48">
        <f>Kerteminde!J147</f>
        <v>-4000</v>
      </c>
      <c r="R146" s="48">
        <f>'Særlige tilskud'!J147</f>
        <v>0</v>
      </c>
    </row>
    <row r="147" spans="1:18" x14ac:dyDescent="0.25">
      <c r="A147" s="42" t="s">
        <v>240</v>
      </c>
      <c r="B147" s="42" t="s">
        <v>241</v>
      </c>
      <c r="C147" s="45">
        <v>-236820.31</v>
      </c>
      <c r="G147" s="45">
        <v>236820.31</v>
      </c>
      <c r="H147" s="48">
        <v>-236820.31</v>
      </c>
      <c r="I147" s="48">
        <f t="shared" si="2"/>
        <v>0</v>
      </c>
      <c r="K147" s="48">
        <f>'Fælles adm.'!J148</f>
        <v>0</v>
      </c>
      <c r="L147" s="48">
        <f>Odense!J148</f>
        <v>0</v>
      </c>
      <c r="M147" s="48">
        <f>Laks!J148</f>
        <v>0</v>
      </c>
      <c r="N147" s="48">
        <f>Assens!J148</f>
        <v>0</v>
      </c>
      <c r="O147" s="48">
        <f>Nyborg!J148</f>
        <v>0</v>
      </c>
      <c r="P147" s="48">
        <f>Nordfyn!J148</f>
        <v>0</v>
      </c>
      <c r="Q147" s="48">
        <f>Kerteminde!J148</f>
        <v>0</v>
      </c>
      <c r="R147" s="48">
        <f>'Særlige tilskud'!J148</f>
        <v>0</v>
      </c>
    </row>
    <row r="148" spans="1:18" x14ac:dyDescent="0.25">
      <c r="A148" s="42" t="s">
        <v>242</v>
      </c>
      <c r="B148" s="42" t="s">
        <v>243</v>
      </c>
      <c r="C148" s="45">
        <v>-45160.07</v>
      </c>
      <c r="D148" s="45">
        <v>-192660</v>
      </c>
      <c r="E148" s="45">
        <v>76.56</v>
      </c>
      <c r="F148" s="45">
        <v>23.44</v>
      </c>
      <c r="G148" s="45">
        <v>-147499.93</v>
      </c>
      <c r="H148" s="48">
        <v>-192660</v>
      </c>
      <c r="I148" s="48">
        <f t="shared" si="2"/>
        <v>-192660</v>
      </c>
      <c r="K148" s="48">
        <f>'Fælles adm.'!J149</f>
        <v>-192660</v>
      </c>
      <c r="L148" s="48">
        <f>Odense!J149</f>
        <v>0</v>
      </c>
      <c r="M148" s="48">
        <f>Laks!J149</f>
        <v>0</v>
      </c>
      <c r="N148" s="48">
        <f>Assens!J149</f>
        <v>0</v>
      </c>
      <c r="O148" s="48">
        <f>Nyborg!J149</f>
        <v>0</v>
      </c>
      <c r="P148" s="48">
        <f>Nordfyn!J149</f>
        <v>0</v>
      </c>
      <c r="Q148" s="48">
        <f>Kerteminde!J149</f>
        <v>0</v>
      </c>
      <c r="R148" s="48">
        <f>'Særlige tilskud'!J149</f>
        <v>0</v>
      </c>
    </row>
    <row r="149" spans="1:18" x14ac:dyDescent="0.25">
      <c r="A149" s="42" t="s">
        <v>244</v>
      </c>
      <c r="B149" s="42" t="s">
        <v>245</v>
      </c>
      <c r="C149" s="45">
        <v>-69039.679999999993</v>
      </c>
      <c r="D149" s="45">
        <v>-156400</v>
      </c>
      <c r="E149" s="45">
        <v>55.86</v>
      </c>
      <c r="F149" s="45">
        <v>44.14</v>
      </c>
      <c r="G149" s="45">
        <v>-87360.320000000007</v>
      </c>
      <c r="H149" s="48">
        <v>-156400</v>
      </c>
      <c r="I149" s="48">
        <f t="shared" si="2"/>
        <v>-156400</v>
      </c>
      <c r="K149" s="48">
        <f>'Fælles adm.'!J150</f>
        <v>-156400</v>
      </c>
      <c r="L149" s="48">
        <f>Odense!J150</f>
        <v>0</v>
      </c>
      <c r="M149" s="48">
        <f>Laks!J150</f>
        <v>0</v>
      </c>
      <c r="N149" s="48">
        <f>Assens!J150</f>
        <v>0</v>
      </c>
      <c r="O149" s="48">
        <f>Nyborg!J150</f>
        <v>0</v>
      </c>
      <c r="P149" s="48">
        <f>Nordfyn!J150</f>
        <v>0</v>
      </c>
      <c r="Q149" s="48">
        <f>Kerteminde!J150</f>
        <v>0</v>
      </c>
      <c r="R149" s="48">
        <f>'Særlige tilskud'!J150</f>
        <v>0</v>
      </c>
    </row>
    <row r="150" spans="1:18" x14ac:dyDescent="0.25">
      <c r="A150" s="42" t="s">
        <v>246</v>
      </c>
      <c r="B150" s="42" t="s">
        <v>247</v>
      </c>
      <c r="C150" s="45">
        <v>-449754.97</v>
      </c>
      <c r="D150" s="45">
        <v>-4814375</v>
      </c>
      <c r="E150" s="45">
        <v>90.66</v>
      </c>
      <c r="F150" s="45">
        <v>9.34</v>
      </c>
      <c r="G150" s="45">
        <v>-4364620.03</v>
      </c>
      <c r="H150" s="48">
        <v>-4583588.24</v>
      </c>
      <c r="I150" s="48">
        <f t="shared" si="2"/>
        <v>-2267520</v>
      </c>
      <c r="K150" s="48">
        <f>'Fælles adm.'!J151</f>
        <v>-2267520</v>
      </c>
      <c r="L150" s="48">
        <f>Odense!J151</f>
        <v>0</v>
      </c>
      <c r="M150" s="48">
        <f>Laks!J151</f>
        <v>0</v>
      </c>
      <c r="N150" s="48">
        <f>Assens!J151</f>
        <v>0</v>
      </c>
      <c r="O150" s="48">
        <f>Nyborg!J151</f>
        <v>0</v>
      </c>
      <c r="P150" s="48">
        <f>Nordfyn!J151</f>
        <v>0</v>
      </c>
      <c r="Q150" s="48">
        <f>Kerteminde!J151</f>
        <v>0</v>
      </c>
      <c r="R150" s="48">
        <f>'Særlige tilskud'!J151</f>
        <v>0</v>
      </c>
    </row>
    <row r="151" spans="1:18" x14ac:dyDescent="0.25">
      <c r="A151" s="42" t="s">
        <v>248</v>
      </c>
      <c r="B151" s="42" t="s">
        <v>249</v>
      </c>
      <c r="C151" s="45">
        <v>-109287.71</v>
      </c>
      <c r="D151" s="45">
        <v>-390000</v>
      </c>
      <c r="E151" s="45">
        <v>71.98</v>
      </c>
      <c r="F151" s="45">
        <v>28.02</v>
      </c>
      <c r="G151" s="45">
        <v>-280712.28999999998</v>
      </c>
      <c r="H151" s="48">
        <v>-390000</v>
      </c>
      <c r="I151" s="48">
        <f t="shared" si="2"/>
        <v>-760000</v>
      </c>
      <c r="K151" s="48">
        <f>'Fælles adm.'!J152</f>
        <v>-50000</v>
      </c>
      <c r="L151" s="48">
        <f>Odense!J152</f>
        <v>-120000</v>
      </c>
      <c r="M151" s="48">
        <f>Laks!J152</f>
        <v>-20000</v>
      </c>
      <c r="N151" s="48">
        <f>Assens!J152</f>
        <v>-50000</v>
      </c>
      <c r="O151" s="48">
        <f>Nyborg!J152</f>
        <v>-420000</v>
      </c>
      <c r="P151" s="48">
        <f>Nordfyn!J152</f>
        <v>-50000</v>
      </c>
      <c r="Q151" s="48">
        <f>Kerteminde!J152</f>
        <v>-50000</v>
      </c>
      <c r="R151" s="48">
        <f>'Særlige tilskud'!J152</f>
        <v>0</v>
      </c>
    </row>
    <row r="152" spans="1:18" x14ac:dyDescent="0.25">
      <c r="A152" s="42" t="s">
        <v>250</v>
      </c>
      <c r="B152" s="42" t="s">
        <v>251</v>
      </c>
      <c r="H152" s="48">
        <v>0</v>
      </c>
      <c r="I152" s="48">
        <f t="shared" si="2"/>
        <v>0</v>
      </c>
      <c r="K152" s="48">
        <f>'Fælles adm.'!J153</f>
        <v>0</v>
      </c>
      <c r="L152" s="48">
        <f>Odense!J153</f>
        <v>0</v>
      </c>
      <c r="M152" s="48">
        <f>Laks!J153</f>
        <v>0</v>
      </c>
      <c r="N152" s="48">
        <f>Assens!J153</f>
        <v>0</v>
      </c>
      <c r="O152" s="48">
        <f>Nyborg!J153</f>
        <v>0</v>
      </c>
      <c r="P152" s="48">
        <f>Nordfyn!J153</f>
        <v>0</v>
      </c>
      <c r="Q152" s="48">
        <f>Kerteminde!J153</f>
        <v>0</v>
      </c>
      <c r="R152" s="48">
        <f>'Særlige tilskud'!J153</f>
        <v>0</v>
      </c>
    </row>
    <row r="153" spans="1:18" x14ac:dyDescent="0.25">
      <c r="A153" s="42" t="s">
        <v>252</v>
      </c>
      <c r="B153" s="42" t="s">
        <v>253</v>
      </c>
      <c r="C153" s="45">
        <v>-100431.72</v>
      </c>
      <c r="D153" s="45">
        <v>-70000</v>
      </c>
      <c r="E153" s="45">
        <v>-43.47</v>
      </c>
      <c r="F153" s="45">
        <v>143.47</v>
      </c>
      <c r="G153" s="45">
        <v>30431.72</v>
      </c>
      <c r="H153" s="48">
        <v>-100431.72</v>
      </c>
      <c r="I153" s="48">
        <f t="shared" si="2"/>
        <v>-99754.02</v>
      </c>
      <c r="K153" s="48">
        <f>'Fælles adm.'!J154</f>
        <v>0</v>
      </c>
      <c r="L153" s="48">
        <f>Odense!J154</f>
        <v>-10488.3</v>
      </c>
      <c r="M153" s="48">
        <f>Laks!J154</f>
        <v>0</v>
      </c>
      <c r="N153" s="48">
        <f>Assens!J154</f>
        <v>-17374.5</v>
      </c>
      <c r="O153" s="48">
        <f>Nyborg!J154</f>
        <v>0</v>
      </c>
      <c r="P153" s="48">
        <f>Nordfyn!J154</f>
        <v>0</v>
      </c>
      <c r="Q153" s="48">
        <f>Kerteminde!J154</f>
        <v>-71891.22</v>
      </c>
      <c r="R153" s="48">
        <f>'Særlige tilskud'!J154</f>
        <v>0</v>
      </c>
    </row>
    <row r="154" spans="1:18" x14ac:dyDescent="0.25">
      <c r="A154" s="42" t="s">
        <v>254</v>
      </c>
      <c r="B154" s="42" t="s">
        <v>255</v>
      </c>
      <c r="C154" s="45">
        <v>-111985.19</v>
      </c>
      <c r="D154" s="45">
        <v>-213155.18</v>
      </c>
      <c r="E154" s="45">
        <v>47.46</v>
      </c>
      <c r="F154" s="45">
        <v>52.54</v>
      </c>
      <c r="G154" s="45">
        <v>-101169.99</v>
      </c>
      <c r="H154" s="48">
        <v>-213155.18</v>
      </c>
      <c r="I154" s="48">
        <f t="shared" si="2"/>
        <v>-203000</v>
      </c>
      <c r="K154" s="48">
        <f>'Fælles adm.'!J155</f>
        <v>-203000</v>
      </c>
      <c r="L154" s="48">
        <f>Odense!J155</f>
        <v>0</v>
      </c>
      <c r="M154" s="48">
        <f>Laks!J155</f>
        <v>0</v>
      </c>
      <c r="N154" s="48">
        <f>Assens!J155</f>
        <v>0</v>
      </c>
      <c r="O154" s="48">
        <f>Nyborg!J155</f>
        <v>0</v>
      </c>
      <c r="P154" s="48">
        <f>Nordfyn!J155</f>
        <v>0</v>
      </c>
      <c r="Q154" s="48">
        <f>Kerteminde!J155</f>
        <v>0</v>
      </c>
      <c r="R154" s="48">
        <f>'Særlige tilskud'!J155</f>
        <v>0</v>
      </c>
    </row>
    <row r="155" spans="1:18" x14ac:dyDescent="0.25">
      <c r="A155" s="42" t="s">
        <v>256</v>
      </c>
      <c r="B155" s="42" t="s">
        <v>257</v>
      </c>
      <c r="D155" s="45">
        <v>-72666.66</v>
      </c>
      <c r="E155" s="45">
        <v>100</v>
      </c>
      <c r="G155" s="45">
        <v>-72666.66</v>
      </c>
      <c r="H155" s="48">
        <v>-72666.66</v>
      </c>
      <c r="I155" s="48">
        <f t="shared" si="2"/>
        <v>-56200</v>
      </c>
      <c r="K155" s="48">
        <f>'Fælles adm.'!J156</f>
        <v>0</v>
      </c>
      <c r="L155" s="48">
        <f>Odense!J156</f>
        <v>-22500</v>
      </c>
      <c r="M155" s="48">
        <f>Laks!J156</f>
        <v>0</v>
      </c>
      <c r="N155" s="48">
        <f>Assens!J156</f>
        <v>-8000</v>
      </c>
      <c r="O155" s="48">
        <f>Nyborg!J156</f>
        <v>-8000</v>
      </c>
      <c r="P155" s="48">
        <f>Nordfyn!J156</f>
        <v>-9500</v>
      </c>
      <c r="Q155" s="48">
        <f>Kerteminde!J156</f>
        <v>-8200</v>
      </c>
      <c r="R155" s="48">
        <f>'Særlige tilskud'!J156</f>
        <v>0</v>
      </c>
    </row>
    <row r="156" spans="1:18" x14ac:dyDescent="0.25">
      <c r="A156" s="42" t="s">
        <v>258</v>
      </c>
      <c r="B156" s="42" t="s">
        <v>259</v>
      </c>
      <c r="C156" s="45">
        <v>-193393.85</v>
      </c>
      <c r="D156" s="45">
        <v>-49323.4</v>
      </c>
      <c r="E156" s="45">
        <v>-292.08999999999997</v>
      </c>
      <c r="F156" s="45">
        <v>392.09</v>
      </c>
      <c r="G156" s="45">
        <v>144070.45000000001</v>
      </c>
      <c r="H156" s="48">
        <v>-193393.85</v>
      </c>
      <c r="I156" s="48">
        <f t="shared" si="2"/>
        <v>-193393.85</v>
      </c>
      <c r="K156" s="48">
        <f>'Fælles adm.'!J157</f>
        <v>-193393.85</v>
      </c>
      <c r="L156" s="48">
        <f>Odense!J157</f>
        <v>0</v>
      </c>
      <c r="M156" s="48">
        <f>Laks!J157</f>
        <v>0</v>
      </c>
      <c r="N156" s="48">
        <f>Assens!J157</f>
        <v>0</v>
      </c>
      <c r="O156" s="48">
        <f>Nyborg!J157</f>
        <v>0</v>
      </c>
      <c r="P156" s="48">
        <f>Nordfyn!J157</f>
        <v>0</v>
      </c>
      <c r="Q156" s="48">
        <f>Kerteminde!J157</f>
        <v>0</v>
      </c>
      <c r="R156" s="48">
        <f>'Særlige tilskud'!J157</f>
        <v>0</v>
      </c>
    </row>
    <row r="157" spans="1:18" x14ac:dyDescent="0.25">
      <c r="A157" s="42" t="s">
        <v>260</v>
      </c>
      <c r="B157" s="42" t="s">
        <v>261</v>
      </c>
      <c r="D157" s="45">
        <v>-866371</v>
      </c>
      <c r="E157" s="45">
        <v>100</v>
      </c>
      <c r="G157" s="45">
        <v>-866371</v>
      </c>
      <c r="H157" s="48">
        <v>0</v>
      </c>
      <c r="I157" s="48">
        <f t="shared" si="2"/>
        <v>0</v>
      </c>
      <c r="K157" s="48">
        <f>'Fælles adm.'!J158</f>
        <v>0</v>
      </c>
      <c r="L157" s="48">
        <f>Odense!J158</f>
        <v>0</v>
      </c>
      <c r="M157" s="48">
        <f>Laks!J158</f>
        <v>0</v>
      </c>
      <c r="N157" s="48">
        <f>Assens!J158</f>
        <v>0</v>
      </c>
      <c r="O157" s="48">
        <f>Nyborg!J158</f>
        <v>0</v>
      </c>
      <c r="P157" s="48">
        <f>Nordfyn!J158</f>
        <v>0</v>
      </c>
      <c r="Q157" s="48">
        <f>Kerteminde!J158</f>
        <v>0</v>
      </c>
      <c r="R157" s="48">
        <f>'Særlige tilskud'!J158</f>
        <v>0</v>
      </c>
    </row>
    <row r="158" spans="1:18" x14ac:dyDescent="0.25">
      <c r="A158" s="42" t="s">
        <v>262</v>
      </c>
      <c r="B158" s="42" t="s">
        <v>263</v>
      </c>
      <c r="C158" s="45">
        <v>-48932.63</v>
      </c>
      <c r="D158" s="45">
        <v>-1280000</v>
      </c>
      <c r="E158" s="45">
        <v>96.18</v>
      </c>
      <c r="F158" s="45">
        <v>3.82</v>
      </c>
      <c r="G158" s="45">
        <v>-1231067.3700000001</v>
      </c>
      <c r="H158" s="48">
        <v>-784743.46</v>
      </c>
      <c r="I158" s="48">
        <f t="shared" si="2"/>
        <v>0</v>
      </c>
      <c r="K158" s="48">
        <f>'Fælles adm.'!J159</f>
        <v>0</v>
      </c>
      <c r="L158" s="48">
        <f>Odense!J159</f>
        <v>0</v>
      </c>
      <c r="M158" s="48">
        <f>Laks!J159</f>
        <v>0</v>
      </c>
      <c r="N158" s="48">
        <f>Assens!J159</f>
        <v>0</v>
      </c>
      <c r="O158" s="48">
        <f>Nyborg!J159</f>
        <v>0</v>
      </c>
      <c r="P158" s="48">
        <f>Nordfyn!J159</f>
        <v>0</v>
      </c>
      <c r="Q158" s="48">
        <f>Kerteminde!J159</f>
        <v>0</v>
      </c>
      <c r="R158" s="48">
        <f>'Særlige tilskud'!J159</f>
        <v>0</v>
      </c>
    </row>
    <row r="159" spans="1:18" x14ac:dyDescent="0.25">
      <c r="A159" s="42" t="s">
        <v>264</v>
      </c>
      <c r="B159" s="42" t="s">
        <v>265</v>
      </c>
      <c r="H159" s="48">
        <v>0</v>
      </c>
      <c r="I159" s="48">
        <f t="shared" si="2"/>
        <v>0</v>
      </c>
      <c r="K159" s="48">
        <f>'Fælles adm.'!J160</f>
        <v>0</v>
      </c>
      <c r="L159" s="48">
        <f>Odense!J160</f>
        <v>0</v>
      </c>
      <c r="M159" s="48">
        <f>Laks!J160</f>
        <v>0</v>
      </c>
      <c r="N159" s="48">
        <f>Assens!J160</f>
        <v>0</v>
      </c>
      <c r="O159" s="48">
        <f>Nyborg!J160</f>
        <v>0</v>
      </c>
      <c r="P159" s="48">
        <f>Nordfyn!J160</f>
        <v>0</v>
      </c>
      <c r="Q159" s="48">
        <f>Kerteminde!J160</f>
        <v>0</v>
      </c>
      <c r="R159" s="48">
        <f>'Særlige tilskud'!J160</f>
        <v>0</v>
      </c>
    </row>
    <row r="160" spans="1:18" x14ac:dyDescent="0.25">
      <c r="A160" s="42" t="s">
        <v>266</v>
      </c>
      <c r="B160" s="42" t="s">
        <v>267</v>
      </c>
      <c r="H160" s="48">
        <v>0</v>
      </c>
      <c r="I160" s="48">
        <f t="shared" si="2"/>
        <v>0</v>
      </c>
      <c r="K160" s="48">
        <f>'Fælles adm.'!J161</f>
        <v>0</v>
      </c>
      <c r="L160" s="48">
        <f>Odense!J161</f>
        <v>0</v>
      </c>
      <c r="M160" s="48">
        <f>Laks!J161</f>
        <v>0</v>
      </c>
      <c r="N160" s="48">
        <f>Assens!J161</f>
        <v>0</v>
      </c>
      <c r="O160" s="48">
        <f>Nyborg!J161</f>
        <v>0</v>
      </c>
      <c r="P160" s="48">
        <f>Nordfyn!J161</f>
        <v>0</v>
      </c>
      <c r="Q160" s="48">
        <f>Kerteminde!J161</f>
        <v>0</v>
      </c>
      <c r="R160" s="48">
        <f>'Særlige tilskud'!J161</f>
        <v>0</v>
      </c>
    </row>
    <row r="161" spans="1:18" x14ac:dyDescent="0.25">
      <c r="A161" s="42" t="s">
        <v>268</v>
      </c>
      <c r="B161" s="42" t="s">
        <v>269</v>
      </c>
      <c r="C161" s="45">
        <v>-702399.28</v>
      </c>
      <c r="D161" s="45">
        <v>-1508000</v>
      </c>
      <c r="E161" s="45">
        <v>53.42</v>
      </c>
      <c r="F161" s="45">
        <v>46.58</v>
      </c>
      <c r="G161" s="45">
        <v>-805600.72</v>
      </c>
      <c r="H161" s="48">
        <v>-1512771.94</v>
      </c>
      <c r="I161" s="48">
        <f t="shared" si="2"/>
        <v>-1567771.94</v>
      </c>
      <c r="K161" s="48">
        <f>'Fælles adm.'!J162</f>
        <v>-928100.5</v>
      </c>
      <c r="L161" s="48">
        <f>Odense!J162</f>
        <v>0</v>
      </c>
      <c r="M161" s="48">
        <f>Laks!J162</f>
        <v>-639671.43999999994</v>
      </c>
      <c r="N161" s="48">
        <f>Assens!J162</f>
        <v>0</v>
      </c>
      <c r="O161" s="48">
        <f>Nyborg!J162</f>
        <v>0</v>
      </c>
      <c r="P161" s="48">
        <f>Nordfyn!J162</f>
        <v>0</v>
      </c>
      <c r="Q161" s="48">
        <f>Kerteminde!J162</f>
        <v>0</v>
      </c>
      <c r="R161" s="48">
        <f>'Særlige tilskud'!J162</f>
        <v>0</v>
      </c>
    </row>
    <row r="162" spans="1:18" x14ac:dyDescent="0.25">
      <c r="A162" s="42" t="s">
        <v>270</v>
      </c>
      <c r="B162" s="42" t="s">
        <v>271</v>
      </c>
      <c r="C162" s="45">
        <v>-354702.35</v>
      </c>
      <c r="D162" s="45">
        <v>-793000</v>
      </c>
      <c r="E162" s="45">
        <v>55.27</v>
      </c>
      <c r="F162" s="45">
        <v>44.73</v>
      </c>
      <c r="G162" s="45">
        <v>-438297.65</v>
      </c>
      <c r="H162" s="48">
        <v>-695046.39999999991</v>
      </c>
      <c r="I162" s="48">
        <f t="shared" si="2"/>
        <v>-740046.39999999991</v>
      </c>
      <c r="K162" s="48">
        <f>'Fælles adm.'!J163</f>
        <v>-725046.39999999991</v>
      </c>
      <c r="L162" s="48">
        <f>Odense!J163</f>
        <v>0</v>
      </c>
      <c r="M162" s="48">
        <f>Laks!J163</f>
        <v>-15000</v>
      </c>
      <c r="N162" s="48">
        <f>Assens!J163</f>
        <v>0</v>
      </c>
      <c r="O162" s="48">
        <f>Nyborg!J163</f>
        <v>0</v>
      </c>
      <c r="P162" s="48">
        <f>Nordfyn!J163</f>
        <v>0</v>
      </c>
      <c r="Q162" s="48">
        <f>Kerteminde!J163</f>
        <v>0</v>
      </c>
      <c r="R162" s="48">
        <f>'Særlige tilskud'!J163</f>
        <v>0</v>
      </c>
    </row>
    <row r="163" spans="1:18" x14ac:dyDescent="0.25">
      <c r="A163" s="42" t="s">
        <v>272</v>
      </c>
      <c r="B163" s="42" t="s">
        <v>273</v>
      </c>
      <c r="C163" s="45">
        <v>-237134.32</v>
      </c>
      <c r="D163" s="45">
        <v>-324642</v>
      </c>
      <c r="E163" s="45">
        <v>26.96</v>
      </c>
      <c r="F163" s="45">
        <v>73.040000000000006</v>
      </c>
      <c r="G163" s="45">
        <v>-87507.68</v>
      </c>
      <c r="H163" s="48">
        <v>-511585.14</v>
      </c>
      <c r="I163" s="48">
        <f t="shared" si="2"/>
        <v>-519585.14</v>
      </c>
      <c r="K163" s="48">
        <f>'Fælles adm.'!J164</f>
        <v>-236933.12</v>
      </c>
      <c r="L163" s="48">
        <f>Odense!J164</f>
        <v>0</v>
      </c>
      <c r="M163" s="48">
        <f>Laks!J164</f>
        <v>-282652.02</v>
      </c>
      <c r="N163" s="48">
        <f>Assens!J164</f>
        <v>0</v>
      </c>
      <c r="O163" s="48">
        <f>Nyborg!J164</f>
        <v>0</v>
      </c>
      <c r="P163" s="48">
        <f>Nordfyn!J164</f>
        <v>0</v>
      </c>
      <c r="Q163" s="48">
        <f>Kerteminde!J164</f>
        <v>0</v>
      </c>
      <c r="R163" s="48">
        <f>'Særlige tilskud'!J164</f>
        <v>0</v>
      </c>
    </row>
    <row r="164" spans="1:18" x14ac:dyDescent="0.25">
      <c r="A164" s="42" t="s">
        <v>274</v>
      </c>
      <c r="B164" s="42" t="s">
        <v>275</v>
      </c>
      <c r="C164" s="45">
        <v>-22626.59</v>
      </c>
      <c r="D164" s="45">
        <v>-78500</v>
      </c>
      <c r="E164" s="45">
        <v>71.180000000000007</v>
      </c>
      <c r="F164" s="45">
        <v>28.82</v>
      </c>
      <c r="G164" s="45">
        <v>-55873.41</v>
      </c>
      <c r="H164" s="48">
        <v>-78500</v>
      </c>
      <c r="I164" s="48">
        <f t="shared" si="2"/>
        <v>-78500</v>
      </c>
      <c r="K164" s="48">
        <f>'Fælles adm.'!J165</f>
        <v>-78500</v>
      </c>
      <c r="L164" s="48">
        <f>Odense!J165</f>
        <v>0</v>
      </c>
      <c r="M164" s="48">
        <f>Laks!J165</f>
        <v>0</v>
      </c>
      <c r="N164" s="48">
        <f>Assens!J165</f>
        <v>0</v>
      </c>
      <c r="O164" s="48">
        <f>Nyborg!J165</f>
        <v>0</v>
      </c>
      <c r="P164" s="48">
        <f>Nordfyn!J165</f>
        <v>0</v>
      </c>
      <c r="Q164" s="48">
        <f>Kerteminde!J165</f>
        <v>0</v>
      </c>
      <c r="R164" s="48">
        <f>'Særlige tilskud'!J165</f>
        <v>0</v>
      </c>
    </row>
    <row r="165" spans="1:18" x14ac:dyDescent="0.25">
      <c r="A165" s="42" t="s">
        <v>276</v>
      </c>
      <c r="B165" s="42" t="s">
        <v>277</v>
      </c>
      <c r="C165" s="45">
        <v>-12992.86</v>
      </c>
      <c r="D165" s="45">
        <v>-84000</v>
      </c>
      <c r="E165" s="45">
        <v>84.53</v>
      </c>
      <c r="F165" s="45">
        <v>15.47</v>
      </c>
      <c r="G165" s="45">
        <v>-71007.14</v>
      </c>
      <c r="H165" s="48">
        <v>-84407.85</v>
      </c>
      <c r="I165" s="48">
        <f t="shared" si="2"/>
        <v>-84407.85</v>
      </c>
      <c r="K165" s="48">
        <f>'Fælles adm.'!J166</f>
        <v>-84000</v>
      </c>
      <c r="L165" s="48">
        <f>Odense!J166</f>
        <v>0</v>
      </c>
      <c r="M165" s="48">
        <f>Laks!J166</f>
        <v>-407.85</v>
      </c>
      <c r="N165" s="48">
        <f>Assens!J166</f>
        <v>0</v>
      </c>
      <c r="O165" s="48">
        <f>Nyborg!J166</f>
        <v>0</v>
      </c>
      <c r="P165" s="48">
        <f>Nordfyn!J166</f>
        <v>0</v>
      </c>
      <c r="Q165" s="48">
        <f>Kerteminde!J166</f>
        <v>0</v>
      </c>
      <c r="R165" s="48">
        <f>'Særlige tilskud'!J166</f>
        <v>0</v>
      </c>
    </row>
    <row r="166" spans="1:18" x14ac:dyDescent="0.25">
      <c r="A166" s="42" t="s">
        <v>278</v>
      </c>
      <c r="B166" s="42" t="s">
        <v>279</v>
      </c>
      <c r="C166" s="45">
        <v>229516.88</v>
      </c>
      <c r="G166" s="45">
        <v>-229516.88</v>
      </c>
      <c r="H166" s="48">
        <v>459033.76</v>
      </c>
      <c r="I166" s="48">
        <f t="shared" si="2"/>
        <v>459033.76</v>
      </c>
      <c r="K166" s="48">
        <f>'Fælles adm.'!J167</f>
        <v>0</v>
      </c>
      <c r="L166" s="48">
        <f>Odense!J167</f>
        <v>0</v>
      </c>
      <c r="M166" s="48">
        <f>Laks!J167</f>
        <v>459033.76</v>
      </c>
      <c r="N166" s="48">
        <f>Assens!J167</f>
        <v>0</v>
      </c>
      <c r="O166" s="48">
        <f>Nyborg!J167</f>
        <v>0</v>
      </c>
      <c r="P166" s="48">
        <f>Nordfyn!J167</f>
        <v>0</v>
      </c>
      <c r="Q166" s="48">
        <f>Kerteminde!J167</f>
        <v>0</v>
      </c>
      <c r="R166" s="48">
        <f>'Særlige tilskud'!J167</f>
        <v>0</v>
      </c>
    </row>
    <row r="167" spans="1:18" x14ac:dyDescent="0.25">
      <c r="A167" s="42" t="s">
        <v>280</v>
      </c>
      <c r="B167" s="42" t="s">
        <v>281</v>
      </c>
      <c r="C167" s="45">
        <v>-275829.33</v>
      </c>
      <c r="D167" s="45">
        <v>-580000</v>
      </c>
      <c r="E167" s="45">
        <v>52.44</v>
      </c>
      <c r="F167" s="45">
        <v>47.56</v>
      </c>
      <c r="G167" s="45">
        <v>-304170.67</v>
      </c>
      <c r="H167" s="48">
        <v>-604459.51</v>
      </c>
      <c r="I167" s="48">
        <f t="shared" si="2"/>
        <v>-604459.51</v>
      </c>
      <c r="K167" s="48">
        <f>'Fælles adm.'!J168</f>
        <v>-400000</v>
      </c>
      <c r="L167" s="48">
        <f>Odense!J168</f>
        <v>-70000</v>
      </c>
      <c r="M167" s="48">
        <f>Laks!J168</f>
        <v>0</v>
      </c>
      <c r="N167" s="48">
        <f>Assens!J168</f>
        <v>-20000</v>
      </c>
      <c r="O167" s="48">
        <f>Nyborg!J168</f>
        <v>-10000</v>
      </c>
      <c r="P167" s="48">
        <f>Nordfyn!J168</f>
        <v>-74459.509999999995</v>
      </c>
      <c r="Q167" s="48">
        <f>Kerteminde!J168</f>
        <v>-30000</v>
      </c>
      <c r="R167" s="48">
        <f>'Særlige tilskud'!J168</f>
        <v>0</v>
      </c>
    </row>
    <row r="168" spans="1:18" x14ac:dyDescent="0.25">
      <c r="A168" s="42" t="s">
        <v>282</v>
      </c>
      <c r="B168" s="42" t="s">
        <v>283</v>
      </c>
      <c r="C168" s="45">
        <v>-944196.49</v>
      </c>
      <c r="D168" s="45">
        <v>-2200000</v>
      </c>
      <c r="E168" s="45">
        <v>57.08</v>
      </c>
      <c r="F168" s="45">
        <v>42.92</v>
      </c>
      <c r="G168" s="45">
        <v>-1255803.51</v>
      </c>
      <c r="H168" s="48">
        <v>-2600000</v>
      </c>
      <c r="I168" s="48">
        <f t="shared" si="2"/>
        <v>-2200000</v>
      </c>
      <c r="K168" s="48">
        <f>'Fælles adm.'!J169</f>
        <v>-2200000</v>
      </c>
      <c r="L168" s="48">
        <f>Odense!J169</f>
        <v>0</v>
      </c>
      <c r="M168" s="48">
        <f>Laks!J169</f>
        <v>0</v>
      </c>
      <c r="N168" s="48">
        <f>Assens!J169</f>
        <v>0</v>
      </c>
      <c r="O168" s="48">
        <f>Nyborg!J169</f>
        <v>0</v>
      </c>
      <c r="P168" s="48">
        <f>Nordfyn!J169</f>
        <v>0</v>
      </c>
      <c r="Q168" s="48">
        <f>Kerteminde!J169</f>
        <v>0</v>
      </c>
      <c r="R168" s="48">
        <f>'Særlige tilskud'!J169</f>
        <v>0</v>
      </c>
    </row>
    <row r="169" spans="1:18" x14ac:dyDescent="0.25">
      <c r="A169" s="42" t="s">
        <v>284</v>
      </c>
      <c r="B169" s="42" t="s">
        <v>285</v>
      </c>
      <c r="C169" s="45">
        <v>-109624.75</v>
      </c>
      <c r="D169" s="45">
        <v>-350000</v>
      </c>
      <c r="E169" s="45">
        <v>68.680000000000007</v>
      </c>
      <c r="F169" s="45">
        <v>31.32</v>
      </c>
      <c r="G169" s="45">
        <v>-240375.25</v>
      </c>
      <c r="H169" s="48">
        <v>-350000</v>
      </c>
      <c r="I169" s="48">
        <f t="shared" si="2"/>
        <v>-300000</v>
      </c>
      <c r="K169" s="48">
        <f>'Fælles adm.'!J170</f>
        <v>-300000</v>
      </c>
      <c r="L169" s="48">
        <f>Odense!J170</f>
        <v>0</v>
      </c>
      <c r="M169" s="48">
        <f>Laks!J170</f>
        <v>0</v>
      </c>
      <c r="N169" s="48">
        <f>Assens!J170</f>
        <v>0</v>
      </c>
      <c r="O169" s="48">
        <f>Nyborg!J170</f>
        <v>0</v>
      </c>
      <c r="P169" s="48">
        <f>Nordfyn!J170</f>
        <v>0</v>
      </c>
      <c r="Q169" s="48">
        <f>Kerteminde!J170</f>
        <v>0</v>
      </c>
      <c r="R169" s="48">
        <f>'Særlige tilskud'!J170</f>
        <v>0</v>
      </c>
    </row>
    <row r="170" spans="1:18" x14ac:dyDescent="0.25">
      <c r="A170" s="42" t="s">
        <v>286</v>
      </c>
      <c r="B170" s="42" t="s">
        <v>287</v>
      </c>
      <c r="C170" s="45">
        <v>-38500</v>
      </c>
      <c r="D170" s="45">
        <v>-50000</v>
      </c>
      <c r="E170" s="45">
        <v>23</v>
      </c>
      <c r="F170" s="45">
        <v>77</v>
      </c>
      <c r="G170" s="45">
        <v>-11500</v>
      </c>
      <c r="H170" s="48">
        <v>-100000</v>
      </c>
      <c r="I170" s="48">
        <f t="shared" si="2"/>
        <v>-100000</v>
      </c>
      <c r="K170" s="48">
        <f>'Fælles adm.'!J171</f>
        <v>-100000</v>
      </c>
      <c r="L170" s="48">
        <f>Odense!J171</f>
        <v>0</v>
      </c>
      <c r="M170" s="48">
        <f>Laks!J171</f>
        <v>0</v>
      </c>
      <c r="N170" s="48">
        <f>Assens!J171</f>
        <v>0</v>
      </c>
      <c r="O170" s="48">
        <f>Nyborg!J171</f>
        <v>0</v>
      </c>
      <c r="P170" s="48">
        <f>Nordfyn!J171</f>
        <v>0</v>
      </c>
      <c r="Q170" s="48">
        <f>Kerteminde!J171</f>
        <v>0</v>
      </c>
      <c r="R170" s="48">
        <f>'Særlige tilskud'!J171</f>
        <v>0</v>
      </c>
    </row>
    <row r="171" spans="1:18" x14ac:dyDescent="0.25">
      <c r="A171" s="42" t="s">
        <v>288</v>
      </c>
      <c r="B171" s="42" t="s">
        <v>289</v>
      </c>
      <c r="C171" s="45">
        <v>-231872.5</v>
      </c>
      <c r="D171" s="45">
        <v>-296956.57</v>
      </c>
      <c r="E171" s="45">
        <v>21.92</v>
      </c>
      <c r="F171" s="45">
        <v>78.08</v>
      </c>
      <c r="G171" s="45">
        <v>-65084.07</v>
      </c>
      <c r="H171" s="48">
        <v>-800412.07000000007</v>
      </c>
      <c r="I171" s="48">
        <f t="shared" si="2"/>
        <v>-240900</v>
      </c>
      <c r="K171" s="48">
        <f>'Fælles adm.'!J172</f>
        <v>-200000</v>
      </c>
      <c r="L171" s="48">
        <f>Odense!J172</f>
        <v>-25000</v>
      </c>
      <c r="M171" s="48">
        <f>Laks!J172</f>
        <v>-15900</v>
      </c>
      <c r="N171" s="48">
        <f>Assens!J172</f>
        <v>0</v>
      </c>
      <c r="O171" s="48">
        <f>Nyborg!J172</f>
        <v>0</v>
      </c>
      <c r="P171" s="48">
        <f>Nordfyn!J172</f>
        <v>0</v>
      </c>
      <c r="Q171" s="48">
        <f>Kerteminde!J172</f>
        <v>0</v>
      </c>
      <c r="R171" s="48">
        <f>'Særlige tilskud'!J172</f>
        <v>0</v>
      </c>
    </row>
    <row r="172" spans="1:18" x14ac:dyDescent="0.25">
      <c r="A172" s="42" t="s">
        <v>290</v>
      </c>
      <c r="B172" s="42" t="s">
        <v>291</v>
      </c>
      <c r="C172" s="45">
        <v>-6644.8</v>
      </c>
      <c r="D172" s="45">
        <v>-72000</v>
      </c>
      <c r="E172" s="45">
        <v>90.77</v>
      </c>
      <c r="F172" s="45">
        <v>9.23</v>
      </c>
      <c r="G172" s="45">
        <v>-65355.199999999997</v>
      </c>
      <c r="H172" s="48">
        <v>-72000</v>
      </c>
      <c r="I172" s="48">
        <f t="shared" si="2"/>
        <v>-72000</v>
      </c>
      <c r="K172" s="48">
        <f>'Fælles adm.'!J173</f>
        <v>0</v>
      </c>
      <c r="L172" s="48">
        <f>Odense!J173</f>
        <v>-11000</v>
      </c>
      <c r="M172" s="48">
        <f>Laks!J173</f>
        <v>0</v>
      </c>
      <c r="N172" s="48">
        <f>Assens!J173</f>
        <v>-15000</v>
      </c>
      <c r="O172" s="48">
        <f>Nyborg!J173</f>
        <v>-10000</v>
      </c>
      <c r="P172" s="48">
        <f>Nordfyn!J173</f>
        <v>-20000</v>
      </c>
      <c r="Q172" s="48">
        <f>Kerteminde!J173</f>
        <v>-16000</v>
      </c>
      <c r="R172" s="48">
        <f>'Særlige tilskud'!J173</f>
        <v>0</v>
      </c>
    </row>
    <row r="173" spans="1:18" x14ac:dyDescent="0.25">
      <c r="A173" s="42" t="s">
        <v>292</v>
      </c>
      <c r="B173" s="42" t="s">
        <v>293</v>
      </c>
      <c r="C173" s="45">
        <v>-101017.71</v>
      </c>
      <c r="D173" s="45">
        <v>-270787.61</v>
      </c>
      <c r="E173" s="45">
        <v>62.69</v>
      </c>
      <c r="F173" s="45">
        <v>37.31</v>
      </c>
      <c r="G173" s="45">
        <v>-169769.9</v>
      </c>
      <c r="H173" s="48">
        <v>-282723.86</v>
      </c>
      <c r="I173" s="48">
        <f t="shared" si="2"/>
        <v>-553600</v>
      </c>
      <c r="K173" s="48">
        <f>'Fælles adm.'!J174</f>
        <v>-291800</v>
      </c>
      <c r="L173" s="48">
        <f>Odense!J174</f>
        <v>-80000</v>
      </c>
      <c r="M173" s="48">
        <f>Laks!J174</f>
        <v>-15000</v>
      </c>
      <c r="N173" s="48">
        <f>Assens!J174</f>
        <v>-52000</v>
      </c>
      <c r="O173" s="48">
        <f>Nyborg!J174</f>
        <v>-20000</v>
      </c>
      <c r="P173" s="48">
        <f>Nordfyn!J174</f>
        <v>-52800</v>
      </c>
      <c r="Q173" s="48">
        <f>Kerteminde!J174</f>
        <v>-42000</v>
      </c>
      <c r="R173" s="48">
        <f>'Særlige tilskud'!J174</f>
        <v>0</v>
      </c>
    </row>
    <row r="174" spans="1:18" x14ac:dyDescent="0.25">
      <c r="A174" s="42" t="s">
        <v>294</v>
      </c>
      <c r="B174" s="42" t="s">
        <v>295</v>
      </c>
      <c r="C174" s="45">
        <v>-2147078.29</v>
      </c>
      <c r="D174" s="45">
        <v>-238558.88</v>
      </c>
      <c r="E174" s="45">
        <v>-800.02</v>
      </c>
      <c r="F174" s="45">
        <v>900.02</v>
      </c>
      <c r="G174" s="45">
        <v>1908519.41</v>
      </c>
      <c r="H174" s="48">
        <v>-1307984.17</v>
      </c>
      <c r="I174" s="48">
        <f t="shared" si="2"/>
        <v>-200000</v>
      </c>
      <c r="K174" s="48">
        <f>'Fælles adm.'!J175</f>
        <v>-200000</v>
      </c>
      <c r="L174" s="48">
        <f>Odense!J175</f>
        <v>0</v>
      </c>
      <c r="M174" s="48">
        <f>Laks!J175</f>
        <v>0</v>
      </c>
      <c r="N174" s="48">
        <f>Assens!J175</f>
        <v>0</v>
      </c>
      <c r="O174" s="48">
        <f>Nyborg!J175</f>
        <v>0</v>
      </c>
      <c r="P174" s="48">
        <f>Nordfyn!J175</f>
        <v>0</v>
      </c>
      <c r="Q174" s="48">
        <f>Kerteminde!J175</f>
        <v>0</v>
      </c>
      <c r="R174" s="48">
        <f>'Særlige tilskud'!J175</f>
        <v>0</v>
      </c>
    </row>
    <row r="175" spans="1:18" x14ac:dyDescent="0.25">
      <c r="A175" s="42" t="s">
        <v>296</v>
      </c>
      <c r="B175" s="42" t="s">
        <v>297</v>
      </c>
      <c r="C175" s="45">
        <v>-21284.19</v>
      </c>
      <c r="D175" s="45">
        <v>-64200</v>
      </c>
      <c r="E175" s="45">
        <v>66.849999999999994</v>
      </c>
      <c r="F175" s="45">
        <v>33.15</v>
      </c>
      <c r="G175" s="45">
        <v>-42915.81</v>
      </c>
      <c r="H175" s="48">
        <v>-64300</v>
      </c>
      <c r="I175" s="48">
        <f t="shared" si="2"/>
        <v>-34300</v>
      </c>
      <c r="K175" s="48">
        <f>'Fælles adm.'!J176</f>
        <v>-20000</v>
      </c>
      <c r="L175" s="48">
        <f>Odense!J176</f>
        <v>-6000</v>
      </c>
      <c r="M175" s="48">
        <f>Laks!J176</f>
        <v>-100</v>
      </c>
      <c r="N175" s="48">
        <f>Assens!J176</f>
        <v>-1200</v>
      </c>
      <c r="O175" s="48">
        <f>Nyborg!J176</f>
        <v>-1000</v>
      </c>
      <c r="P175" s="48">
        <f>Nordfyn!J176</f>
        <v>-3000</v>
      </c>
      <c r="Q175" s="48">
        <f>Kerteminde!J176</f>
        <v>-3000</v>
      </c>
      <c r="R175" s="48">
        <f>'Særlige tilskud'!J176</f>
        <v>0</v>
      </c>
    </row>
    <row r="176" spans="1:18" x14ac:dyDescent="0.25">
      <c r="A176" s="42" t="s">
        <v>298</v>
      </c>
      <c r="B176" s="42" t="s">
        <v>299</v>
      </c>
      <c r="C176" s="45">
        <v>-510707.83</v>
      </c>
      <c r="D176" s="45">
        <v>-1222000</v>
      </c>
      <c r="E176" s="45">
        <v>58.21</v>
      </c>
      <c r="F176" s="45">
        <v>41.79</v>
      </c>
      <c r="G176" s="45">
        <v>-711292.17</v>
      </c>
      <c r="H176" s="48">
        <v>-1222477.28</v>
      </c>
      <c r="I176" s="48">
        <f t="shared" si="2"/>
        <v>-1222000</v>
      </c>
      <c r="K176" s="48">
        <f>'Fælles adm.'!J177</f>
        <v>0</v>
      </c>
      <c r="L176" s="48">
        <f>Odense!J177</f>
        <v>-400000</v>
      </c>
      <c r="M176" s="48">
        <f>Laks!J177</f>
        <v>0</v>
      </c>
      <c r="N176" s="48">
        <f>Assens!J177</f>
        <v>-250000</v>
      </c>
      <c r="O176" s="48">
        <f>Nyborg!J177</f>
        <v>-140000</v>
      </c>
      <c r="P176" s="48">
        <f>Nordfyn!J177</f>
        <v>-350000</v>
      </c>
      <c r="Q176" s="48">
        <f>Kerteminde!J177</f>
        <v>-82000</v>
      </c>
      <c r="R176" s="48">
        <f>'Særlige tilskud'!J177</f>
        <v>0</v>
      </c>
    </row>
    <row r="177" spans="1:18" x14ac:dyDescent="0.25">
      <c r="A177" s="42" t="s">
        <v>300</v>
      </c>
      <c r="B177" s="42" t="s">
        <v>301</v>
      </c>
      <c r="C177" s="45">
        <v>-272512.19</v>
      </c>
      <c r="D177" s="45">
        <v>-96619</v>
      </c>
      <c r="E177" s="45">
        <v>-182.05</v>
      </c>
      <c r="F177" s="45">
        <v>282.05</v>
      </c>
      <c r="G177" s="45">
        <v>175893.19</v>
      </c>
      <c r="H177" s="48">
        <v>-284131.19</v>
      </c>
      <c r="I177" s="48">
        <f t="shared" si="2"/>
        <v>-339482.96</v>
      </c>
      <c r="K177" s="48">
        <f>'Fælles adm.'!J178</f>
        <v>-290000</v>
      </c>
      <c r="L177" s="48">
        <f>Odense!J178</f>
        <v>-10157.959999999999</v>
      </c>
      <c r="M177" s="48">
        <f>Laks!J178</f>
        <v>-14619</v>
      </c>
      <c r="N177" s="48">
        <f>Assens!J178</f>
        <v>-15000</v>
      </c>
      <c r="O177" s="48">
        <f>Nyborg!J178</f>
        <v>-4000</v>
      </c>
      <c r="P177" s="48">
        <f>Nordfyn!J178</f>
        <v>-5706</v>
      </c>
      <c r="Q177" s="48">
        <f>Kerteminde!J178</f>
        <v>0</v>
      </c>
      <c r="R177" s="48">
        <f>'Særlige tilskud'!J178</f>
        <v>0</v>
      </c>
    </row>
    <row r="178" spans="1:18" x14ac:dyDescent="0.25">
      <c r="A178" s="42" t="s">
        <v>302</v>
      </c>
      <c r="B178" s="42" t="s">
        <v>303</v>
      </c>
      <c r="C178" s="45">
        <v>-21386.720000000001</v>
      </c>
      <c r="D178" s="45">
        <v>-68000</v>
      </c>
      <c r="E178" s="45">
        <v>68.55</v>
      </c>
      <c r="F178" s="45">
        <v>31.45</v>
      </c>
      <c r="G178" s="45">
        <v>-46613.279999999999</v>
      </c>
      <c r="H178" s="48">
        <v>-74635.94</v>
      </c>
      <c r="I178" s="48">
        <f t="shared" si="2"/>
        <v>-68551</v>
      </c>
      <c r="K178" s="48">
        <f>'Fælles adm.'!J179</f>
        <v>-20000</v>
      </c>
      <c r="L178" s="48">
        <f>Odense!J179</f>
        <v>-15000</v>
      </c>
      <c r="M178" s="48">
        <f>Laks!J179</f>
        <v>-551</v>
      </c>
      <c r="N178" s="48">
        <f>Assens!J179</f>
        <v>-10000</v>
      </c>
      <c r="O178" s="48">
        <f>Nyborg!J179</f>
        <v>0</v>
      </c>
      <c r="P178" s="48">
        <f>Nordfyn!J179</f>
        <v>-5000</v>
      </c>
      <c r="Q178" s="48">
        <f>Kerteminde!J179</f>
        <v>-18000</v>
      </c>
      <c r="R178" s="48">
        <f>'Særlige tilskud'!J179</f>
        <v>0</v>
      </c>
    </row>
    <row r="179" spans="1:18" x14ac:dyDescent="0.25">
      <c r="A179" s="42" t="s">
        <v>304</v>
      </c>
      <c r="B179" s="42" t="s">
        <v>305</v>
      </c>
      <c r="D179" s="45">
        <v>-90000</v>
      </c>
      <c r="E179" s="45">
        <v>100</v>
      </c>
      <c r="G179" s="45">
        <v>-90000</v>
      </c>
      <c r="H179" s="48">
        <v>-45000</v>
      </c>
      <c r="I179" s="48">
        <f t="shared" si="2"/>
        <v>-45000</v>
      </c>
      <c r="K179" s="48">
        <f>'Fælles adm.'!J180</f>
        <v>-20000</v>
      </c>
      <c r="L179" s="48">
        <f>Odense!J180</f>
        <v>-5000</v>
      </c>
      <c r="M179" s="48">
        <f>Laks!J180</f>
        <v>0</v>
      </c>
      <c r="N179" s="48">
        <f>Assens!J180</f>
        <v>-5000</v>
      </c>
      <c r="O179" s="48">
        <f>Nyborg!J180</f>
        <v>-5000</v>
      </c>
      <c r="P179" s="48">
        <f>Nordfyn!J180</f>
        <v>-5000</v>
      </c>
      <c r="Q179" s="48">
        <f>Kerteminde!J180</f>
        <v>-5000</v>
      </c>
      <c r="R179" s="48">
        <f>'Særlige tilskud'!J180</f>
        <v>0</v>
      </c>
    </row>
    <row r="180" spans="1:18" x14ac:dyDescent="0.25">
      <c r="A180" s="42" t="s">
        <v>306</v>
      </c>
      <c r="B180" s="42" t="s">
        <v>307</v>
      </c>
      <c r="C180" s="45">
        <v>-157927.48000000001</v>
      </c>
      <c r="D180" s="45">
        <v>-165000</v>
      </c>
      <c r="E180" s="45">
        <v>4.29</v>
      </c>
      <c r="F180" s="45">
        <v>95.71</v>
      </c>
      <c r="G180" s="45">
        <v>-7072.52</v>
      </c>
      <c r="H180" s="48">
        <v>-265000</v>
      </c>
      <c r="I180" s="48">
        <f t="shared" si="2"/>
        <v>-265000</v>
      </c>
      <c r="K180" s="48">
        <f>'Fælles adm.'!J181</f>
        <v>0</v>
      </c>
      <c r="L180" s="48">
        <f>Odense!J181</f>
        <v>-200000</v>
      </c>
      <c r="M180" s="48">
        <f>Laks!J181</f>
        <v>-10000</v>
      </c>
      <c r="N180" s="48">
        <f>Assens!J181</f>
        <v>-15000</v>
      </c>
      <c r="O180" s="48">
        <f>Nyborg!J181</f>
        <v>0</v>
      </c>
      <c r="P180" s="48">
        <f>Nordfyn!J181</f>
        <v>-10000</v>
      </c>
      <c r="Q180" s="48">
        <f>Kerteminde!J181</f>
        <v>-30000</v>
      </c>
      <c r="R180" s="48">
        <f>'Særlige tilskud'!J181</f>
        <v>0</v>
      </c>
    </row>
    <row r="181" spans="1:18" x14ac:dyDescent="0.25">
      <c r="A181" s="42" t="s">
        <v>308</v>
      </c>
      <c r="B181" s="42" t="s">
        <v>309</v>
      </c>
      <c r="C181" s="45">
        <v>28225.93</v>
      </c>
      <c r="D181" s="45">
        <v>-960000</v>
      </c>
      <c r="E181" s="45">
        <v>102.94</v>
      </c>
      <c r="F181" s="45">
        <v>-2.94</v>
      </c>
      <c r="G181" s="45">
        <v>-988225.93</v>
      </c>
      <c r="H181" s="48">
        <v>-709736.15</v>
      </c>
      <c r="I181" s="48">
        <f t="shared" si="2"/>
        <v>-490000</v>
      </c>
      <c r="K181" s="48">
        <f>'Fælles adm.'!J182</f>
        <v>-200000</v>
      </c>
      <c r="L181" s="48">
        <f>Odense!J182</f>
        <v>-80000</v>
      </c>
      <c r="M181" s="48">
        <f>Laks!J182</f>
        <v>-100000</v>
      </c>
      <c r="N181" s="48">
        <f>Assens!J182</f>
        <v>-20000</v>
      </c>
      <c r="O181" s="48">
        <f>Nyborg!J182</f>
        <v>-20000</v>
      </c>
      <c r="P181" s="48">
        <f>Nordfyn!J182</f>
        <v>-50000</v>
      </c>
      <c r="Q181" s="48">
        <f>Kerteminde!J182</f>
        <v>-20000</v>
      </c>
      <c r="R181" s="48">
        <f>'Særlige tilskud'!J182</f>
        <v>0</v>
      </c>
    </row>
    <row r="182" spans="1:18" x14ac:dyDescent="0.25">
      <c r="A182" s="42" t="s">
        <v>310</v>
      </c>
      <c r="B182" s="42" t="s">
        <v>311</v>
      </c>
      <c r="C182" s="45">
        <v>-1902</v>
      </c>
      <c r="D182" s="45">
        <v>-5100</v>
      </c>
      <c r="E182" s="45">
        <v>62.71</v>
      </c>
      <c r="F182" s="45">
        <v>37.29</v>
      </c>
      <c r="G182" s="45">
        <v>-3198</v>
      </c>
      <c r="H182" s="48">
        <v>-6456</v>
      </c>
      <c r="I182" s="48">
        <f t="shared" si="2"/>
        <v>-5500</v>
      </c>
      <c r="K182" s="48">
        <f>'Fælles adm.'!J183</f>
        <v>-500</v>
      </c>
      <c r="L182" s="48">
        <f>Odense!J183</f>
        <v>0</v>
      </c>
      <c r="M182" s="48">
        <f>Laks!J183</f>
        <v>0</v>
      </c>
      <c r="N182" s="48">
        <f>Assens!J183</f>
        <v>-5000</v>
      </c>
      <c r="O182" s="48">
        <f>Nyborg!J183</f>
        <v>0</v>
      </c>
      <c r="P182" s="48">
        <f>Nordfyn!J183</f>
        <v>0</v>
      </c>
      <c r="Q182" s="48">
        <f>Kerteminde!J183</f>
        <v>0</v>
      </c>
      <c r="R182" s="48">
        <f>'Særlige tilskud'!J183</f>
        <v>0</v>
      </c>
    </row>
    <row r="183" spans="1:18" x14ac:dyDescent="0.25">
      <c r="A183" s="42" t="s">
        <v>312</v>
      </c>
      <c r="B183" s="42" t="s">
        <v>313</v>
      </c>
      <c r="C183" s="45">
        <v>-122788.16</v>
      </c>
      <c r="D183" s="45">
        <v>-340000.02</v>
      </c>
      <c r="E183" s="45">
        <v>63.89</v>
      </c>
      <c r="F183" s="45">
        <v>36.11</v>
      </c>
      <c r="G183" s="45">
        <v>-217211.86</v>
      </c>
      <c r="H183" s="48">
        <v>-326660.09999999998</v>
      </c>
      <c r="I183" s="48">
        <f t="shared" si="2"/>
        <v>-328166.67000000004</v>
      </c>
      <c r="K183" s="48">
        <f>'Fælles adm.'!J184</f>
        <v>-15000</v>
      </c>
      <c r="L183" s="48">
        <f>Odense!J184</f>
        <v>-145166.67000000001</v>
      </c>
      <c r="M183" s="48">
        <f>Laks!J184</f>
        <v>0</v>
      </c>
      <c r="N183" s="48">
        <f>Assens!J184</f>
        <v>-32000</v>
      </c>
      <c r="O183" s="48">
        <f>Nyborg!J184</f>
        <v>-43666.67</v>
      </c>
      <c r="P183" s="48">
        <f>Nordfyn!J184</f>
        <v>-51333.33</v>
      </c>
      <c r="Q183" s="48">
        <f>Kerteminde!J184</f>
        <v>-41000</v>
      </c>
      <c r="R183" s="48">
        <f>'Særlige tilskud'!J184</f>
        <v>0</v>
      </c>
    </row>
    <row r="184" spans="1:18" x14ac:dyDescent="0.25">
      <c r="A184" s="42" t="s">
        <v>314</v>
      </c>
      <c r="B184" s="42" t="s">
        <v>315</v>
      </c>
      <c r="C184" s="45">
        <v>-53954.52</v>
      </c>
      <c r="D184" s="45">
        <v>-263500</v>
      </c>
      <c r="E184" s="45">
        <v>79.52</v>
      </c>
      <c r="F184" s="45">
        <v>20.48</v>
      </c>
      <c r="G184" s="45">
        <v>-209545.48</v>
      </c>
      <c r="H184" s="48">
        <v>-268000</v>
      </c>
      <c r="I184" s="48">
        <f t="shared" si="2"/>
        <v>-229500</v>
      </c>
      <c r="K184" s="48">
        <f>'Fælles adm.'!J185</f>
        <v>-4500</v>
      </c>
      <c r="L184" s="48">
        <f>Odense!J185</f>
        <v>-75000</v>
      </c>
      <c r="M184" s="48">
        <f>Laks!J185</f>
        <v>-20000</v>
      </c>
      <c r="N184" s="48">
        <f>Assens!J185</f>
        <v>-20000</v>
      </c>
      <c r="O184" s="48">
        <f>Nyborg!J185</f>
        <v>-25000</v>
      </c>
      <c r="P184" s="48">
        <f>Nordfyn!J185</f>
        <v>-60000</v>
      </c>
      <c r="Q184" s="48">
        <f>Kerteminde!J185</f>
        <v>-25000</v>
      </c>
      <c r="R184" s="48">
        <f>'Særlige tilskud'!J185</f>
        <v>0</v>
      </c>
    </row>
    <row r="185" spans="1:18" x14ac:dyDescent="0.25">
      <c r="A185" s="42" t="s">
        <v>316</v>
      </c>
      <c r="B185" s="42" t="s">
        <v>317</v>
      </c>
      <c r="C185" s="45">
        <v>-27715.03</v>
      </c>
      <c r="D185" s="45">
        <v>-117000</v>
      </c>
      <c r="E185" s="45">
        <v>76.31</v>
      </c>
      <c r="F185" s="45">
        <v>23.69</v>
      </c>
      <c r="G185" s="45">
        <v>-89284.97</v>
      </c>
      <c r="H185" s="48">
        <v>-117000</v>
      </c>
      <c r="I185" s="48">
        <f t="shared" si="2"/>
        <v>-107000</v>
      </c>
      <c r="K185" s="48">
        <f>'Fælles adm.'!J186</f>
        <v>-10000</v>
      </c>
      <c r="L185" s="48">
        <f>Odense!J186</f>
        <v>-40000</v>
      </c>
      <c r="M185" s="48">
        <f>Laks!J186</f>
        <v>0</v>
      </c>
      <c r="N185" s="48">
        <f>Assens!J186</f>
        <v>-15000</v>
      </c>
      <c r="O185" s="48">
        <f>Nyborg!J186</f>
        <v>-15000</v>
      </c>
      <c r="P185" s="48">
        <f>Nordfyn!J186</f>
        <v>-15000</v>
      </c>
      <c r="Q185" s="48">
        <f>Kerteminde!J186</f>
        <v>-12000</v>
      </c>
      <c r="R185" s="48">
        <f>'Særlige tilskud'!J186</f>
        <v>0</v>
      </c>
    </row>
    <row r="186" spans="1:18" x14ac:dyDescent="0.25">
      <c r="A186" s="42" t="s">
        <v>318</v>
      </c>
      <c r="B186" s="42" t="s">
        <v>319</v>
      </c>
      <c r="C186" s="45">
        <v>-123297.54</v>
      </c>
      <c r="D186" s="45">
        <v>-1190688</v>
      </c>
      <c r="E186" s="45">
        <v>89.64</v>
      </c>
      <c r="F186" s="45">
        <v>10.36</v>
      </c>
      <c r="G186" s="45">
        <v>-1067390.46</v>
      </c>
      <c r="H186" s="48">
        <v>-1190688</v>
      </c>
      <c r="I186" s="48">
        <f t="shared" si="2"/>
        <v>-880000</v>
      </c>
      <c r="K186" s="48">
        <f>'Fælles adm.'!J187</f>
        <v>-100000</v>
      </c>
      <c r="L186" s="48">
        <f>Odense!J187</f>
        <v>-250000</v>
      </c>
      <c r="M186" s="48">
        <f>Laks!J187</f>
        <v>-10000</v>
      </c>
      <c r="N186" s="48">
        <f>Assens!J187</f>
        <v>-50000</v>
      </c>
      <c r="O186" s="48">
        <f>Nyborg!J187</f>
        <v>-250000</v>
      </c>
      <c r="P186" s="48">
        <f>Nordfyn!J187</f>
        <v>-120000</v>
      </c>
      <c r="Q186" s="48">
        <f>Kerteminde!J187</f>
        <v>-100000</v>
      </c>
      <c r="R186" s="48">
        <f>'Særlige tilskud'!J187</f>
        <v>0</v>
      </c>
    </row>
    <row r="187" spans="1:18" x14ac:dyDescent="0.25">
      <c r="A187" s="42" t="s">
        <v>320</v>
      </c>
      <c r="B187" s="42" t="s">
        <v>321</v>
      </c>
      <c r="C187" s="45">
        <v>-32538.06</v>
      </c>
      <c r="D187" s="45">
        <v>-271999.99</v>
      </c>
      <c r="E187" s="45">
        <v>88.04</v>
      </c>
      <c r="F187" s="45">
        <v>11.96</v>
      </c>
      <c r="G187" s="45">
        <v>-239461.93</v>
      </c>
      <c r="H187" s="48">
        <v>-272313.95</v>
      </c>
      <c r="I187" s="48">
        <f t="shared" si="2"/>
        <v>-226538.66999999998</v>
      </c>
      <c r="K187" s="48">
        <f>'Fælles adm.'!J188</f>
        <v>0</v>
      </c>
      <c r="L187" s="48">
        <f>Odense!J188</f>
        <v>-80500</v>
      </c>
      <c r="M187" s="48">
        <f>Laks!J188</f>
        <v>-172</v>
      </c>
      <c r="N187" s="48">
        <f>Assens!J188</f>
        <v>-40000</v>
      </c>
      <c r="O187" s="48">
        <f>Nyborg!J188</f>
        <v>-32000</v>
      </c>
      <c r="P187" s="48">
        <f>Nordfyn!J188</f>
        <v>-41066.67</v>
      </c>
      <c r="Q187" s="48">
        <f>Kerteminde!J188</f>
        <v>-32800</v>
      </c>
      <c r="R187" s="48">
        <f>'Særlige tilskud'!J188</f>
        <v>0</v>
      </c>
    </row>
    <row r="188" spans="1:18" x14ac:dyDescent="0.25">
      <c r="A188" s="42" t="s">
        <v>322</v>
      </c>
      <c r="B188" s="42" t="s">
        <v>323</v>
      </c>
      <c r="C188" s="45">
        <v>-1183182.6100000001</v>
      </c>
      <c r="D188" s="45">
        <v>-4683700</v>
      </c>
      <c r="E188" s="45">
        <v>74.739999999999995</v>
      </c>
      <c r="F188" s="45">
        <v>25.26</v>
      </c>
      <c r="G188" s="45">
        <v>-3500517.39</v>
      </c>
      <c r="H188" s="48">
        <v>-4683700</v>
      </c>
      <c r="I188" s="48">
        <f t="shared" si="2"/>
        <v>-4125000</v>
      </c>
      <c r="K188" s="48">
        <f>'Fælles adm.'!J189</f>
        <v>0</v>
      </c>
      <c r="L188" s="48">
        <f>Odense!J189</f>
        <v>-1500000</v>
      </c>
      <c r="M188" s="48">
        <f>Laks!J189</f>
        <v>-600000</v>
      </c>
      <c r="N188" s="48">
        <f>Assens!J189</f>
        <v>-500000</v>
      </c>
      <c r="O188" s="48">
        <f>Nyborg!J189</f>
        <v>-500000</v>
      </c>
      <c r="P188" s="48">
        <f>Nordfyn!J189</f>
        <v>-425000</v>
      </c>
      <c r="Q188" s="48">
        <f>Kerteminde!J189</f>
        <v>-600000</v>
      </c>
      <c r="R188" s="48">
        <f>'Særlige tilskud'!J189</f>
        <v>0</v>
      </c>
    </row>
    <row r="189" spans="1:18" x14ac:dyDescent="0.25">
      <c r="A189" s="42" t="s">
        <v>324</v>
      </c>
      <c r="B189" s="42" t="s">
        <v>325</v>
      </c>
      <c r="C189" s="45">
        <v>-7842</v>
      </c>
      <c r="G189" s="45">
        <v>7842</v>
      </c>
      <c r="H189" s="48">
        <v>-7842</v>
      </c>
      <c r="I189" s="48">
        <f t="shared" si="2"/>
        <v>-6960</v>
      </c>
      <c r="K189" s="48">
        <f>'Fælles adm.'!J190</f>
        <v>0</v>
      </c>
      <c r="L189" s="48">
        <f>Odense!J190</f>
        <v>-6960</v>
      </c>
      <c r="M189" s="48">
        <f>Laks!J190</f>
        <v>0</v>
      </c>
      <c r="N189" s="48">
        <f>Assens!J190</f>
        <v>0</v>
      </c>
      <c r="O189" s="48">
        <f>Nyborg!J190</f>
        <v>0</v>
      </c>
      <c r="P189" s="48">
        <f>Nordfyn!J190</f>
        <v>0</v>
      </c>
      <c r="Q189" s="48">
        <f>Kerteminde!J190</f>
        <v>0</v>
      </c>
      <c r="R189" s="48">
        <f>'Særlige tilskud'!J190</f>
        <v>0</v>
      </c>
    </row>
    <row r="190" spans="1:18" x14ac:dyDescent="0.25">
      <c r="A190" s="42" t="s">
        <v>326</v>
      </c>
      <c r="B190" s="42" t="s">
        <v>327</v>
      </c>
      <c r="C190" s="45">
        <v>-98589.34</v>
      </c>
      <c r="D190" s="45">
        <v>-140000</v>
      </c>
      <c r="E190" s="45">
        <v>29.58</v>
      </c>
      <c r="F190" s="45">
        <v>70.42</v>
      </c>
      <c r="G190" s="45">
        <v>-41410.660000000003</v>
      </c>
      <c r="H190" s="48">
        <v>-144030</v>
      </c>
      <c r="I190" s="48">
        <f t="shared" si="2"/>
        <v>-140000</v>
      </c>
      <c r="K190" s="48">
        <f>'Fælles adm.'!J191</f>
        <v>0</v>
      </c>
      <c r="L190" s="48">
        <f>Odense!J191</f>
        <v>0</v>
      </c>
      <c r="M190" s="48">
        <f>Laks!J191</f>
        <v>0</v>
      </c>
      <c r="N190" s="48">
        <f>Assens!J191</f>
        <v>-140000</v>
      </c>
      <c r="O190" s="48">
        <f>Nyborg!J191</f>
        <v>0</v>
      </c>
      <c r="P190" s="48">
        <f>Nordfyn!J191</f>
        <v>0</v>
      </c>
      <c r="Q190" s="48">
        <f>Kerteminde!J191</f>
        <v>0</v>
      </c>
      <c r="R190" s="48">
        <f>'Særlige tilskud'!J191</f>
        <v>0</v>
      </c>
    </row>
    <row r="191" spans="1:18" x14ac:dyDescent="0.25">
      <c r="A191" s="42" t="s">
        <v>328</v>
      </c>
      <c r="B191" s="42" t="s">
        <v>329</v>
      </c>
      <c r="D191" s="45">
        <v>-674000</v>
      </c>
      <c r="E191" s="45">
        <v>100</v>
      </c>
      <c r="G191" s="45">
        <v>-674000</v>
      </c>
      <c r="H191" s="48">
        <v>-674000</v>
      </c>
      <c r="I191" s="48">
        <f t="shared" si="2"/>
        <v>0</v>
      </c>
      <c r="K191" s="48">
        <f>'Fælles adm.'!J192</f>
        <v>0</v>
      </c>
      <c r="L191" s="48">
        <f>Odense!J192</f>
        <v>0</v>
      </c>
      <c r="M191" s="48">
        <f>Laks!J192</f>
        <v>0</v>
      </c>
      <c r="N191" s="48">
        <f>Assens!J192</f>
        <v>0</v>
      </c>
      <c r="O191" s="48">
        <f>Nyborg!J192</f>
        <v>0</v>
      </c>
      <c r="P191" s="48">
        <f>Nordfyn!J192</f>
        <v>0</v>
      </c>
      <c r="Q191" s="48">
        <f>Kerteminde!J192</f>
        <v>0</v>
      </c>
      <c r="R191" s="48">
        <f>'Særlige tilskud'!J192</f>
        <v>0</v>
      </c>
    </row>
    <row r="192" spans="1:18" x14ac:dyDescent="0.25">
      <c r="A192" s="42" t="s">
        <v>330</v>
      </c>
      <c r="B192" s="42" t="s">
        <v>331</v>
      </c>
      <c r="C192" s="45">
        <v>-149461.17000000001</v>
      </c>
      <c r="D192" s="45">
        <v>-570218</v>
      </c>
      <c r="E192" s="45">
        <v>73.790000000000006</v>
      </c>
      <c r="F192" s="45">
        <v>26.21</v>
      </c>
      <c r="G192" s="45">
        <v>-420756.83</v>
      </c>
      <c r="H192" s="48">
        <v>-627632.4</v>
      </c>
      <c r="I192" s="48">
        <f t="shared" si="2"/>
        <v>-640000</v>
      </c>
      <c r="K192" s="48">
        <f>'Fælles adm.'!J193</f>
        <v>0</v>
      </c>
      <c r="L192" s="48">
        <f>Odense!J193</f>
        <v>-200000</v>
      </c>
      <c r="M192" s="48">
        <f>Laks!J193</f>
        <v>-100000</v>
      </c>
      <c r="N192" s="48">
        <f>Assens!J193</f>
        <v>-100000</v>
      </c>
      <c r="O192" s="48">
        <f>Nyborg!J193</f>
        <v>-100000</v>
      </c>
      <c r="P192" s="48">
        <f>Nordfyn!J193</f>
        <v>-100000</v>
      </c>
      <c r="Q192" s="48">
        <f>Kerteminde!J193</f>
        <v>-40000</v>
      </c>
      <c r="R192" s="48">
        <f>'Særlige tilskud'!J193</f>
        <v>0</v>
      </c>
    </row>
    <row r="193" spans="1:18" x14ac:dyDescent="0.25">
      <c r="A193" s="42" t="s">
        <v>332</v>
      </c>
      <c r="B193" s="42" t="s">
        <v>333</v>
      </c>
      <c r="H193" s="48">
        <v>0</v>
      </c>
      <c r="I193" s="48">
        <f t="shared" si="2"/>
        <v>0</v>
      </c>
      <c r="K193" s="48">
        <f>'Fælles adm.'!J194</f>
        <v>0</v>
      </c>
      <c r="L193" s="48">
        <f>Odense!J194</f>
        <v>0</v>
      </c>
      <c r="M193" s="48">
        <f>Laks!J194</f>
        <v>0</v>
      </c>
      <c r="N193" s="48">
        <f>Assens!J194</f>
        <v>0</v>
      </c>
      <c r="O193" s="48">
        <f>Nyborg!J194</f>
        <v>0</v>
      </c>
      <c r="P193" s="48">
        <f>Nordfyn!J194</f>
        <v>0</v>
      </c>
      <c r="Q193" s="48">
        <f>Kerteminde!J194</f>
        <v>0</v>
      </c>
      <c r="R193" s="48">
        <f>'Særlige tilskud'!J194</f>
        <v>0</v>
      </c>
    </row>
    <row r="194" spans="1:18" x14ac:dyDescent="0.25">
      <c r="A194" s="42" t="s">
        <v>334</v>
      </c>
      <c r="B194" s="42" t="s">
        <v>335</v>
      </c>
      <c r="C194" s="45">
        <v>-1.62</v>
      </c>
      <c r="D194" s="45">
        <v>22.49</v>
      </c>
      <c r="E194" s="45">
        <v>107.2</v>
      </c>
      <c r="F194" s="45">
        <v>-7.2</v>
      </c>
      <c r="G194" s="45">
        <v>24.11</v>
      </c>
      <c r="H194" s="48">
        <v>22.49</v>
      </c>
      <c r="I194" s="48">
        <f t="shared" si="2"/>
        <v>-100</v>
      </c>
      <c r="K194" s="48">
        <f>'Fælles adm.'!J195</f>
        <v>-100</v>
      </c>
      <c r="L194" s="48">
        <f>Odense!J195</f>
        <v>0</v>
      </c>
      <c r="M194" s="48">
        <f>Laks!J195</f>
        <v>0</v>
      </c>
      <c r="N194" s="48">
        <f>Assens!J195</f>
        <v>0</v>
      </c>
      <c r="O194" s="48">
        <f>Nyborg!J195</f>
        <v>0</v>
      </c>
      <c r="P194" s="48">
        <f>Nordfyn!J195</f>
        <v>0</v>
      </c>
      <c r="Q194" s="48">
        <f>Kerteminde!J195</f>
        <v>0</v>
      </c>
      <c r="R194" s="48">
        <f>'Særlige tilskud'!J195</f>
        <v>0</v>
      </c>
    </row>
    <row r="195" spans="1:18" x14ac:dyDescent="0.25">
      <c r="A195" s="42" t="s">
        <v>336</v>
      </c>
      <c r="B195" s="42" t="s">
        <v>337</v>
      </c>
      <c r="H195" s="48">
        <v>0</v>
      </c>
      <c r="I195" s="48">
        <f t="shared" si="2"/>
        <v>0</v>
      </c>
      <c r="K195" s="48">
        <f>'Fælles adm.'!J196</f>
        <v>0</v>
      </c>
      <c r="L195" s="48">
        <f>Odense!J196</f>
        <v>0</v>
      </c>
      <c r="M195" s="48">
        <f>Laks!J196</f>
        <v>0</v>
      </c>
      <c r="N195" s="48">
        <f>Assens!J196</f>
        <v>0</v>
      </c>
      <c r="O195" s="48">
        <f>Nyborg!J196</f>
        <v>0</v>
      </c>
      <c r="P195" s="48">
        <f>Nordfyn!J196</f>
        <v>0</v>
      </c>
      <c r="Q195" s="48">
        <f>Kerteminde!J196</f>
        <v>0</v>
      </c>
      <c r="R195" s="48">
        <f>'Særlige tilskud'!J196</f>
        <v>0</v>
      </c>
    </row>
    <row r="196" spans="1:18" x14ac:dyDescent="0.25">
      <c r="A196" s="42" t="s">
        <v>338</v>
      </c>
      <c r="B196" s="42" t="s">
        <v>339</v>
      </c>
      <c r="H196" s="48">
        <v>0</v>
      </c>
      <c r="I196" s="48">
        <f t="shared" si="2"/>
        <v>0</v>
      </c>
      <c r="K196" s="48">
        <f>'Fælles adm.'!J197</f>
        <v>0</v>
      </c>
      <c r="L196" s="48">
        <f>Odense!J197</f>
        <v>0</v>
      </c>
      <c r="M196" s="48">
        <f>Laks!J197</f>
        <v>0</v>
      </c>
      <c r="N196" s="48">
        <f>Assens!J197</f>
        <v>0</v>
      </c>
      <c r="O196" s="48">
        <f>Nyborg!J197</f>
        <v>0</v>
      </c>
      <c r="P196" s="48">
        <f>Nordfyn!J197</f>
        <v>0</v>
      </c>
      <c r="Q196" s="48">
        <f>Kerteminde!J197</f>
        <v>0</v>
      </c>
      <c r="R196" s="48">
        <f>'Særlige tilskud'!J197</f>
        <v>0</v>
      </c>
    </row>
    <row r="197" spans="1:18" x14ac:dyDescent="0.25">
      <c r="A197" s="43" t="s">
        <v>340</v>
      </c>
      <c r="B197" s="43" t="s">
        <v>341</v>
      </c>
      <c r="C197" s="46">
        <v>-9145002.5</v>
      </c>
      <c r="D197" s="46">
        <v>-30277905.449999999</v>
      </c>
      <c r="E197" s="46">
        <v>69.8</v>
      </c>
      <c r="F197" s="46">
        <v>30.2</v>
      </c>
      <c r="G197" s="46">
        <v>-21132902.949999999</v>
      </c>
      <c r="H197" s="5">
        <v>-28864549.32</v>
      </c>
      <c r="I197" s="5">
        <f t="shared" si="2"/>
        <v>-24179264.25</v>
      </c>
      <c r="K197" s="5">
        <f>'Fælles adm.'!J198</f>
        <v>2683493.7800000003</v>
      </c>
      <c r="L197" s="5">
        <f>Odense!J198</f>
        <v>-7895976.7960749995</v>
      </c>
      <c r="M197" s="5">
        <f>Laks!J198</f>
        <v>-1404039.5499999998</v>
      </c>
      <c r="N197" s="5">
        <f>Assens!J198</f>
        <v>-3199269.8830749998</v>
      </c>
      <c r="O197" s="5">
        <f>Nyborg!J198</f>
        <v>-3684759.7118450003</v>
      </c>
      <c r="P197" s="5">
        <f>Nordfyn!J198</f>
        <v>-3595194.6691549998</v>
      </c>
      <c r="Q197" s="5">
        <f>Kerteminde!J198</f>
        <v>-3083517.4198500002</v>
      </c>
      <c r="R197" s="5">
        <f>'Særlige tilskud'!J198</f>
        <v>-4000000</v>
      </c>
    </row>
    <row r="198" spans="1:18" x14ac:dyDescent="0.25">
      <c r="A198" s="42" t="s">
        <v>12</v>
      </c>
      <c r="B198" s="42" t="s">
        <v>12</v>
      </c>
      <c r="H198" s="48"/>
      <c r="I198" s="48">
        <f t="shared" si="2"/>
        <v>0</v>
      </c>
      <c r="K198" s="48">
        <f>'Fælles adm.'!J199</f>
        <v>0</v>
      </c>
      <c r="L198" s="48">
        <f>Odense!J199</f>
        <v>0</v>
      </c>
      <c r="M198" s="48">
        <f>Laks!J199</f>
        <v>0</v>
      </c>
      <c r="N198" s="48">
        <f>Assens!J199</f>
        <v>0</v>
      </c>
      <c r="O198" s="48">
        <f>Nyborg!J199</f>
        <v>0</v>
      </c>
      <c r="P198" s="48">
        <f>Nordfyn!J199</f>
        <v>0</v>
      </c>
      <c r="Q198" s="48">
        <f>Kerteminde!J199</f>
        <v>0</v>
      </c>
      <c r="R198" s="48">
        <f>'Særlige tilskud'!J199</f>
        <v>0</v>
      </c>
    </row>
    <row r="199" spans="1:18" x14ac:dyDescent="0.25">
      <c r="A199" s="43" t="s">
        <v>342</v>
      </c>
      <c r="B199" s="43" t="s">
        <v>343</v>
      </c>
      <c r="C199" s="46"/>
      <c r="D199" s="46"/>
      <c r="E199" s="46"/>
      <c r="F199" s="46"/>
      <c r="G199" s="46"/>
      <c r="H199" s="5"/>
      <c r="I199" s="5">
        <f t="shared" si="2"/>
        <v>0</v>
      </c>
      <c r="K199" s="5">
        <f>'Fælles adm.'!J200</f>
        <v>0</v>
      </c>
      <c r="L199" s="5">
        <f>Odense!J200</f>
        <v>0</v>
      </c>
      <c r="M199" s="5">
        <f>Laks!J200</f>
        <v>0</v>
      </c>
      <c r="N199" s="5">
        <f>Assens!J200</f>
        <v>0</v>
      </c>
      <c r="O199" s="5">
        <f>Nyborg!J200</f>
        <v>0</v>
      </c>
      <c r="P199" s="5">
        <f>Nordfyn!J200</f>
        <v>0</v>
      </c>
      <c r="Q199" s="5">
        <f>Kerteminde!J200</f>
        <v>0</v>
      </c>
      <c r="R199" s="5">
        <f>'Særlige tilskud'!J200</f>
        <v>0</v>
      </c>
    </row>
    <row r="200" spans="1:18" x14ac:dyDescent="0.25">
      <c r="A200" s="42" t="s">
        <v>344</v>
      </c>
      <c r="B200" s="42" t="s">
        <v>345</v>
      </c>
      <c r="H200" s="48">
        <v>0</v>
      </c>
      <c r="I200" s="48">
        <f t="shared" si="2"/>
        <v>0</v>
      </c>
      <c r="K200" s="48">
        <f>'Fælles adm.'!J201</f>
        <v>0</v>
      </c>
      <c r="L200" s="48">
        <f>Odense!J201</f>
        <v>0</v>
      </c>
      <c r="M200" s="48">
        <f>Laks!J201</f>
        <v>0</v>
      </c>
      <c r="N200" s="48">
        <f>Assens!J201</f>
        <v>0</v>
      </c>
      <c r="O200" s="48">
        <f>Nyborg!J201</f>
        <v>0</v>
      </c>
      <c r="P200" s="48">
        <f>Nordfyn!J201</f>
        <v>0</v>
      </c>
      <c r="Q200" s="48">
        <f>Kerteminde!J201</f>
        <v>0</v>
      </c>
      <c r="R200" s="48">
        <f>'Særlige tilskud'!J201</f>
        <v>0</v>
      </c>
    </row>
    <row r="201" spans="1:18" x14ac:dyDescent="0.25">
      <c r="A201" s="42" t="s">
        <v>346</v>
      </c>
      <c r="B201" s="42" t="s">
        <v>347</v>
      </c>
      <c r="H201" s="48">
        <v>0</v>
      </c>
      <c r="I201" s="48">
        <f t="shared" si="2"/>
        <v>0</v>
      </c>
      <c r="K201" s="48">
        <f>'Fælles adm.'!J202</f>
        <v>0</v>
      </c>
      <c r="L201" s="48">
        <f>Odense!J202</f>
        <v>0</v>
      </c>
      <c r="M201" s="48">
        <f>Laks!J202</f>
        <v>0</v>
      </c>
      <c r="N201" s="48">
        <f>Assens!J202</f>
        <v>0</v>
      </c>
      <c r="O201" s="48">
        <f>Nyborg!J202</f>
        <v>0</v>
      </c>
      <c r="P201" s="48">
        <f>Nordfyn!J202</f>
        <v>0</v>
      </c>
      <c r="Q201" s="48">
        <f>Kerteminde!J202</f>
        <v>0</v>
      </c>
      <c r="R201" s="48">
        <f>'Særlige tilskud'!J202</f>
        <v>0</v>
      </c>
    </row>
    <row r="202" spans="1:18" x14ac:dyDescent="0.25">
      <c r="A202" s="42" t="s">
        <v>348</v>
      </c>
      <c r="B202" s="42" t="s">
        <v>349</v>
      </c>
      <c r="D202" s="45">
        <v>42000</v>
      </c>
      <c r="E202" s="45">
        <v>100</v>
      </c>
      <c r="G202" s="45">
        <v>42000</v>
      </c>
      <c r="H202" s="48">
        <v>1000</v>
      </c>
      <c r="I202" s="48">
        <f t="shared" si="2"/>
        <v>0</v>
      </c>
      <c r="K202" s="48">
        <f>'Fælles adm.'!J203</f>
        <v>0</v>
      </c>
      <c r="L202" s="48">
        <f>Odense!J203</f>
        <v>0</v>
      </c>
      <c r="M202" s="48">
        <f>Laks!J203</f>
        <v>0</v>
      </c>
      <c r="N202" s="48">
        <f>Assens!J203</f>
        <v>0</v>
      </c>
      <c r="O202" s="48">
        <f>Nyborg!J203</f>
        <v>0</v>
      </c>
      <c r="P202" s="48">
        <f>Nordfyn!J203</f>
        <v>0</v>
      </c>
      <c r="Q202" s="48">
        <f>Kerteminde!J203</f>
        <v>0</v>
      </c>
      <c r="R202" s="48">
        <f>'Særlige tilskud'!J203</f>
        <v>0</v>
      </c>
    </row>
    <row r="203" spans="1:18" x14ac:dyDescent="0.25">
      <c r="A203" s="42" t="s">
        <v>350</v>
      </c>
      <c r="B203" s="42" t="s">
        <v>351</v>
      </c>
      <c r="H203" s="48">
        <v>0</v>
      </c>
      <c r="I203" s="48">
        <f t="shared" ref="I203:I244" si="3">SUM(K203:R203)</f>
        <v>0</v>
      </c>
      <c r="K203" s="48">
        <f>'Fælles adm.'!J204</f>
        <v>0</v>
      </c>
      <c r="L203" s="48">
        <f>Odense!J204</f>
        <v>0</v>
      </c>
      <c r="M203" s="48">
        <f>Laks!J204</f>
        <v>0</v>
      </c>
      <c r="N203" s="48">
        <f>Assens!J204</f>
        <v>0</v>
      </c>
      <c r="O203" s="48">
        <f>Nyborg!J204</f>
        <v>0</v>
      </c>
      <c r="P203" s="48">
        <f>Nordfyn!J204</f>
        <v>0</v>
      </c>
      <c r="Q203" s="48">
        <f>Kerteminde!J204</f>
        <v>0</v>
      </c>
      <c r="R203" s="48">
        <f>'Særlige tilskud'!J204</f>
        <v>0</v>
      </c>
    </row>
    <row r="204" spans="1:18" x14ac:dyDescent="0.25">
      <c r="A204" s="42" t="s">
        <v>352</v>
      </c>
      <c r="B204" s="42" t="s">
        <v>353</v>
      </c>
      <c r="H204" s="48">
        <v>0</v>
      </c>
      <c r="I204" s="48">
        <f t="shared" si="3"/>
        <v>0</v>
      </c>
      <c r="K204" s="48">
        <f>'Fælles adm.'!J205</f>
        <v>0</v>
      </c>
      <c r="L204" s="48">
        <f>Odense!J205</f>
        <v>0</v>
      </c>
      <c r="M204" s="48">
        <f>Laks!J205</f>
        <v>0</v>
      </c>
      <c r="N204" s="48">
        <f>Assens!J205</f>
        <v>0</v>
      </c>
      <c r="O204" s="48">
        <f>Nyborg!J205</f>
        <v>0</v>
      </c>
      <c r="P204" s="48">
        <f>Nordfyn!J205</f>
        <v>0</v>
      </c>
      <c r="Q204" s="48">
        <f>Kerteminde!J205</f>
        <v>0</v>
      </c>
      <c r="R204" s="48">
        <f>'Særlige tilskud'!J205</f>
        <v>0</v>
      </c>
    </row>
    <row r="205" spans="1:18" x14ac:dyDescent="0.25">
      <c r="A205" s="42" t="s">
        <v>354</v>
      </c>
      <c r="B205" s="42" t="s">
        <v>355</v>
      </c>
      <c r="C205" s="45">
        <v>-1246.72</v>
      </c>
      <c r="G205" s="45">
        <v>1246.72</v>
      </c>
      <c r="H205" s="48">
        <v>-1246.72</v>
      </c>
      <c r="I205" s="48">
        <f t="shared" si="3"/>
        <v>0</v>
      </c>
      <c r="K205" s="48">
        <f>'Fælles adm.'!J206</f>
        <v>0</v>
      </c>
      <c r="L205" s="48">
        <f>Odense!J206</f>
        <v>0</v>
      </c>
      <c r="M205" s="48">
        <f>Laks!J206</f>
        <v>0</v>
      </c>
      <c r="N205" s="48">
        <f>Assens!J206</f>
        <v>0</v>
      </c>
      <c r="O205" s="48">
        <f>Nyborg!J206</f>
        <v>0</v>
      </c>
      <c r="P205" s="48">
        <f>Nordfyn!J206</f>
        <v>0</v>
      </c>
      <c r="Q205" s="48">
        <f>Kerteminde!J206</f>
        <v>0</v>
      </c>
      <c r="R205" s="48">
        <f>'Særlige tilskud'!J206</f>
        <v>0</v>
      </c>
    </row>
    <row r="206" spans="1:18" x14ac:dyDescent="0.25">
      <c r="A206" s="42" t="s">
        <v>356</v>
      </c>
      <c r="B206" s="42" t="s">
        <v>357</v>
      </c>
      <c r="H206" s="48">
        <v>0</v>
      </c>
      <c r="I206" s="48">
        <f t="shared" si="3"/>
        <v>0</v>
      </c>
      <c r="K206" s="48">
        <f>'Fælles adm.'!J207</f>
        <v>0</v>
      </c>
      <c r="L206" s="48">
        <f>Odense!J207</f>
        <v>0</v>
      </c>
      <c r="M206" s="48">
        <f>Laks!J207</f>
        <v>0</v>
      </c>
      <c r="N206" s="48">
        <f>Assens!J207</f>
        <v>0</v>
      </c>
      <c r="O206" s="48">
        <f>Nyborg!J207</f>
        <v>0</v>
      </c>
      <c r="P206" s="48">
        <f>Nordfyn!J207</f>
        <v>0</v>
      </c>
      <c r="Q206" s="48">
        <f>Kerteminde!J207</f>
        <v>0</v>
      </c>
      <c r="R206" s="48">
        <f>'Særlige tilskud'!J207</f>
        <v>0</v>
      </c>
    </row>
    <row r="207" spans="1:18" x14ac:dyDescent="0.25">
      <c r="A207" s="42" t="s">
        <v>358</v>
      </c>
      <c r="B207" s="42" t="s">
        <v>359</v>
      </c>
      <c r="H207" s="48">
        <v>0</v>
      </c>
      <c r="I207" s="48">
        <f t="shared" si="3"/>
        <v>0</v>
      </c>
      <c r="K207" s="48">
        <f>'Fælles adm.'!J208</f>
        <v>0</v>
      </c>
      <c r="L207" s="48">
        <f>Odense!J208</f>
        <v>0</v>
      </c>
      <c r="M207" s="48">
        <f>Laks!J208</f>
        <v>0</v>
      </c>
      <c r="N207" s="48">
        <f>Assens!J208</f>
        <v>0</v>
      </c>
      <c r="O207" s="48">
        <f>Nyborg!J208</f>
        <v>0</v>
      </c>
      <c r="P207" s="48">
        <f>Nordfyn!J208</f>
        <v>0</v>
      </c>
      <c r="Q207" s="48">
        <f>Kerteminde!J208</f>
        <v>0</v>
      </c>
      <c r="R207" s="48">
        <f>'Særlige tilskud'!J208</f>
        <v>0</v>
      </c>
    </row>
    <row r="208" spans="1:18" x14ac:dyDescent="0.25">
      <c r="A208" s="43" t="s">
        <v>360</v>
      </c>
      <c r="B208" s="43" t="s">
        <v>361</v>
      </c>
      <c r="C208" s="46">
        <v>-1246.72</v>
      </c>
      <c r="D208" s="46">
        <v>42000</v>
      </c>
      <c r="E208" s="46">
        <v>102.97</v>
      </c>
      <c r="F208" s="46">
        <v>-2.97</v>
      </c>
      <c r="G208" s="46">
        <v>43246.720000000001</v>
      </c>
      <c r="H208" s="5">
        <v>-246.72000000000003</v>
      </c>
      <c r="I208" s="5">
        <f t="shared" si="3"/>
        <v>0</v>
      </c>
      <c r="K208" s="5">
        <f>'Fælles adm.'!J209</f>
        <v>0</v>
      </c>
      <c r="L208" s="5">
        <f>Odense!J209</f>
        <v>0</v>
      </c>
      <c r="M208" s="5">
        <f>Laks!J209</f>
        <v>0</v>
      </c>
      <c r="N208" s="5">
        <f>Assens!J209</f>
        <v>0</v>
      </c>
      <c r="O208" s="5">
        <f>Nyborg!J209</f>
        <v>0</v>
      </c>
      <c r="P208" s="5">
        <f>Nordfyn!J209</f>
        <v>0</v>
      </c>
      <c r="Q208" s="5">
        <f>Kerteminde!J209</f>
        <v>0</v>
      </c>
      <c r="R208" s="5">
        <f>'Særlige tilskud'!J209</f>
        <v>0</v>
      </c>
    </row>
    <row r="209" spans="1:18" x14ac:dyDescent="0.25">
      <c r="A209" s="42" t="s">
        <v>12</v>
      </c>
      <c r="B209" s="42" t="s">
        <v>12</v>
      </c>
      <c r="H209" s="48"/>
      <c r="I209" s="48">
        <f t="shared" si="3"/>
        <v>0</v>
      </c>
      <c r="K209" s="48">
        <f>'Fælles adm.'!J210</f>
        <v>0</v>
      </c>
      <c r="L209" s="48">
        <f>Odense!J210</f>
        <v>0</v>
      </c>
      <c r="M209" s="48">
        <f>Laks!J210</f>
        <v>0</v>
      </c>
      <c r="N209" s="48">
        <f>Assens!J210</f>
        <v>0</v>
      </c>
      <c r="O209" s="48">
        <f>Nyborg!J210</f>
        <v>0</v>
      </c>
      <c r="P209" s="48">
        <f>Nordfyn!J210</f>
        <v>0</v>
      </c>
      <c r="Q209" s="48">
        <f>Kerteminde!J210</f>
        <v>0</v>
      </c>
      <c r="R209" s="48">
        <f>'Særlige tilskud'!J210</f>
        <v>0</v>
      </c>
    </row>
    <row r="210" spans="1:18" x14ac:dyDescent="0.25">
      <c r="A210" s="43" t="s">
        <v>362</v>
      </c>
      <c r="B210" s="43" t="s">
        <v>40</v>
      </c>
      <c r="C210" s="46"/>
      <c r="D210" s="46"/>
      <c r="E210" s="46"/>
      <c r="F210" s="46"/>
      <c r="G210" s="46"/>
      <c r="H210" s="5"/>
      <c r="I210" s="5">
        <f t="shared" si="3"/>
        <v>0</v>
      </c>
      <c r="K210" s="5">
        <f>'Fælles adm.'!J211</f>
        <v>0</v>
      </c>
      <c r="L210" s="5">
        <f>Odense!J211</f>
        <v>0</v>
      </c>
      <c r="M210" s="5">
        <f>Laks!J211</f>
        <v>0</v>
      </c>
      <c r="N210" s="5">
        <f>Assens!J211</f>
        <v>0</v>
      </c>
      <c r="O210" s="5">
        <f>Nyborg!J211</f>
        <v>0</v>
      </c>
      <c r="P210" s="5">
        <f>Nordfyn!J211</f>
        <v>0</v>
      </c>
      <c r="Q210" s="5">
        <f>Kerteminde!J211</f>
        <v>0</v>
      </c>
      <c r="R210" s="5">
        <f>'Særlige tilskud'!J211</f>
        <v>0</v>
      </c>
    </row>
    <row r="211" spans="1:18" x14ac:dyDescent="0.25">
      <c r="A211" s="42" t="s">
        <v>363</v>
      </c>
      <c r="B211" s="42" t="s">
        <v>364</v>
      </c>
      <c r="D211" s="45">
        <v>-245.74</v>
      </c>
      <c r="E211" s="45">
        <v>100</v>
      </c>
      <c r="G211" s="45">
        <v>-245.74</v>
      </c>
      <c r="H211" s="48">
        <v>-245.74</v>
      </c>
      <c r="I211" s="48">
        <f t="shared" si="3"/>
        <v>0</v>
      </c>
      <c r="K211" s="48">
        <f>'Fælles adm.'!J212</f>
        <v>0</v>
      </c>
      <c r="L211" s="48">
        <f>Odense!J212</f>
        <v>0</v>
      </c>
      <c r="M211" s="48">
        <f>Laks!J212</f>
        <v>0</v>
      </c>
      <c r="N211" s="48">
        <f>Assens!J212</f>
        <v>0</v>
      </c>
      <c r="O211" s="48">
        <f>Nyborg!J212</f>
        <v>0</v>
      </c>
      <c r="P211" s="48">
        <f>Nordfyn!J212</f>
        <v>0</v>
      </c>
      <c r="Q211" s="48">
        <f>Kerteminde!J212</f>
        <v>0</v>
      </c>
      <c r="R211" s="48">
        <f>'Særlige tilskud'!J212</f>
        <v>0</v>
      </c>
    </row>
    <row r="212" spans="1:18" x14ac:dyDescent="0.25">
      <c r="A212" s="42" t="s">
        <v>365</v>
      </c>
      <c r="B212" s="42" t="s">
        <v>366</v>
      </c>
      <c r="C212" s="45">
        <v>-120582.87</v>
      </c>
      <c r="D212" s="45">
        <v>-456010</v>
      </c>
      <c r="E212" s="45">
        <v>73.56</v>
      </c>
      <c r="F212" s="45">
        <v>26.44</v>
      </c>
      <c r="G212" s="45">
        <v>-335427.13</v>
      </c>
      <c r="H212" s="48">
        <v>-283562</v>
      </c>
      <c r="I212" s="48">
        <f t="shared" si="3"/>
        <v>-283562</v>
      </c>
      <c r="K212" s="48">
        <f>'Fælles adm.'!J213</f>
        <v>0</v>
      </c>
      <c r="L212" s="48">
        <f>Odense!J213</f>
        <v>0</v>
      </c>
      <c r="M212" s="48">
        <f>Laks!J213</f>
        <v>0</v>
      </c>
      <c r="N212" s="48">
        <f>Assens!J213</f>
        <v>0</v>
      </c>
      <c r="O212" s="48">
        <f>Nyborg!J213</f>
        <v>0</v>
      </c>
      <c r="P212" s="48">
        <f>Nordfyn!J213</f>
        <v>-33562</v>
      </c>
      <c r="Q212" s="48">
        <f>Kerteminde!J213</f>
        <v>-250000</v>
      </c>
      <c r="R212" s="48">
        <f>'Særlige tilskud'!J213</f>
        <v>0</v>
      </c>
    </row>
    <row r="213" spans="1:18" x14ac:dyDescent="0.25">
      <c r="A213" s="42" t="s">
        <v>367</v>
      </c>
      <c r="B213" s="42" t="s">
        <v>368</v>
      </c>
      <c r="C213" s="45">
        <v>-3697.24</v>
      </c>
      <c r="G213" s="45">
        <v>3697.24</v>
      </c>
      <c r="H213" s="48">
        <v>-3697.24</v>
      </c>
      <c r="I213" s="48">
        <f t="shared" si="3"/>
        <v>0</v>
      </c>
      <c r="K213" s="48">
        <f>'Fælles adm.'!J214</f>
        <v>0</v>
      </c>
      <c r="L213" s="48">
        <f>Odense!J214</f>
        <v>0</v>
      </c>
      <c r="M213" s="48">
        <f>Laks!J214</f>
        <v>0</v>
      </c>
      <c r="N213" s="48">
        <f>Assens!J214</f>
        <v>0</v>
      </c>
      <c r="O213" s="48">
        <f>Nyborg!J214</f>
        <v>0</v>
      </c>
      <c r="P213" s="48">
        <f>Nordfyn!J214</f>
        <v>0</v>
      </c>
      <c r="Q213" s="48">
        <f>Kerteminde!J214</f>
        <v>0</v>
      </c>
      <c r="R213" s="48">
        <f>'Særlige tilskud'!J214</f>
        <v>0</v>
      </c>
    </row>
    <row r="214" spans="1:18" x14ac:dyDescent="0.25">
      <c r="A214" s="42" t="s">
        <v>369</v>
      </c>
      <c r="B214" s="42" t="s">
        <v>370</v>
      </c>
      <c r="C214" s="45">
        <v>-7016.51</v>
      </c>
      <c r="D214" s="45">
        <v>-7227.84</v>
      </c>
      <c r="E214" s="45">
        <v>2.92</v>
      </c>
      <c r="F214" s="45">
        <v>97.08</v>
      </c>
      <c r="G214" s="45">
        <v>-211.33</v>
      </c>
      <c r="H214" s="48">
        <v>-13170.32</v>
      </c>
      <c r="I214" s="48">
        <f t="shared" si="3"/>
        <v>0</v>
      </c>
      <c r="K214" s="48">
        <f>'Fælles adm.'!J215</f>
        <v>0</v>
      </c>
      <c r="L214" s="48">
        <f>Odense!J215</f>
        <v>0</v>
      </c>
      <c r="M214" s="48">
        <f>Laks!J215</f>
        <v>0</v>
      </c>
      <c r="N214" s="48">
        <f>Assens!J215</f>
        <v>0</v>
      </c>
      <c r="O214" s="48">
        <f>Nyborg!J215</f>
        <v>0</v>
      </c>
      <c r="P214" s="48">
        <f>Nordfyn!J215</f>
        <v>0</v>
      </c>
      <c r="Q214" s="48">
        <f>Kerteminde!J215</f>
        <v>0</v>
      </c>
      <c r="R214" s="48">
        <f>'Særlige tilskud'!J215</f>
        <v>0</v>
      </c>
    </row>
    <row r="215" spans="1:18" x14ac:dyDescent="0.25">
      <c r="A215" s="42" t="s">
        <v>371</v>
      </c>
      <c r="B215" s="42" t="s">
        <v>372</v>
      </c>
      <c r="H215" s="48">
        <v>0</v>
      </c>
      <c r="I215" s="48">
        <f t="shared" si="3"/>
        <v>0</v>
      </c>
      <c r="K215" s="48">
        <f>'Fælles adm.'!J216</f>
        <v>0</v>
      </c>
      <c r="L215" s="48">
        <f>Odense!J216</f>
        <v>0</v>
      </c>
      <c r="M215" s="48">
        <f>Laks!J216</f>
        <v>0</v>
      </c>
      <c r="N215" s="48">
        <f>Assens!J216</f>
        <v>0</v>
      </c>
      <c r="O215" s="48">
        <f>Nyborg!J216</f>
        <v>0</v>
      </c>
      <c r="P215" s="48">
        <f>Nordfyn!J216</f>
        <v>0</v>
      </c>
      <c r="Q215" s="48">
        <f>Kerteminde!J216</f>
        <v>0</v>
      </c>
      <c r="R215" s="48">
        <f>'Særlige tilskud'!J216</f>
        <v>0</v>
      </c>
    </row>
    <row r="216" spans="1:18" x14ac:dyDescent="0.25">
      <c r="A216" s="42" t="s">
        <v>373</v>
      </c>
      <c r="B216" s="42" t="s">
        <v>374</v>
      </c>
      <c r="H216" s="48">
        <v>0</v>
      </c>
      <c r="I216" s="48">
        <f t="shared" si="3"/>
        <v>0</v>
      </c>
      <c r="K216" s="48">
        <f>'Fælles adm.'!J217</f>
        <v>0</v>
      </c>
      <c r="L216" s="48">
        <f>Odense!J217</f>
        <v>0</v>
      </c>
      <c r="M216" s="48">
        <f>Laks!J217</f>
        <v>0</v>
      </c>
      <c r="N216" s="48">
        <f>Assens!J217</f>
        <v>0</v>
      </c>
      <c r="O216" s="48">
        <f>Nyborg!J217</f>
        <v>0</v>
      </c>
      <c r="P216" s="48">
        <f>Nordfyn!J217</f>
        <v>0</v>
      </c>
      <c r="Q216" s="48">
        <f>Kerteminde!J217</f>
        <v>0</v>
      </c>
      <c r="R216" s="48">
        <f>'Særlige tilskud'!J217</f>
        <v>0</v>
      </c>
    </row>
    <row r="217" spans="1:18" x14ac:dyDescent="0.25">
      <c r="A217" s="42" t="s">
        <v>375</v>
      </c>
      <c r="B217" s="42" t="s">
        <v>376</v>
      </c>
      <c r="C217" s="45">
        <v>-307.70999999999998</v>
      </c>
      <c r="G217" s="45">
        <v>307.70999999999998</v>
      </c>
      <c r="H217" s="48">
        <v>-307.70999999999998</v>
      </c>
      <c r="I217" s="48">
        <f t="shared" si="3"/>
        <v>0</v>
      </c>
      <c r="K217" s="48">
        <f>'Fælles adm.'!J218</f>
        <v>0</v>
      </c>
      <c r="L217" s="48">
        <f>Odense!J218</f>
        <v>0</v>
      </c>
      <c r="M217" s="48">
        <f>Laks!J218</f>
        <v>0</v>
      </c>
      <c r="N217" s="48">
        <f>Assens!J218</f>
        <v>0</v>
      </c>
      <c r="O217" s="48">
        <f>Nyborg!J218</f>
        <v>0</v>
      </c>
      <c r="P217" s="48">
        <f>Nordfyn!J218</f>
        <v>0</v>
      </c>
      <c r="Q217" s="48">
        <f>Kerteminde!J218</f>
        <v>0</v>
      </c>
      <c r="R217" s="48">
        <f>'Særlige tilskud'!J218</f>
        <v>0</v>
      </c>
    </row>
    <row r="218" spans="1:18" x14ac:dyDescent="0.25">
      <c r="A218" s="43" t="s">
        <v>377</v>
      </c>
      <c r="B218" s="43" t="s">
        <v>378</v>
      </c>
      <c r="C218" s="46">
        <v>-131604.32999999999</v>
      </c>
      <c r="D218" s="46">
        <v>-463483.58</v>
      </c>
      <c r="E218" s="46">
        <v>71.61</v>
      </c>
      <c r="F218" s="46">
        <v>28.39</v>
      </c>
      <c r="G218" s="46">
        <v>-331879.25</v>
      </c>
      <c r="H218" s="5">
        <v>-300983.01</v>
      </c>
      <c r="I218" s="5">
        <f t="shared" si="3"/>
        <v>-283562</v>
      </c>
      <c r="K218" s="5">
        <f>'Fælles adm.'!J219</f>
        <v>0</v>
      </c>
      <c r="L218" s="5">
        <f>Odense!J219</f>
        <v>0</v>
      </c>
      <c r="M218" s="5">
        <f>Laks!J219</f>
        <v>0</v>
      </c>
      <c r="N218" s="5">
        <f>Assens!J219</f>
        <v>0</v>
      </c>
      <c r="O218" s="5">
        <f>Nyborg!J219</f>
        <v>0</v>
      </c>
      <c r="P218" s="5">
        <f>Nordfyn!J219</f>
        <v>-33562</v>
      </c>
      <c r="Q218" s="5">
        <f>Kerteminde!J219</f>
        <v>-250000</v>
      </c>
      <c r="R218" s="5">
        <f>'Særlige tilskud'!J219</f>
        <v>0</v>
      </c>
    </row>
    <row r="219" spans="1:18" x14ac:dyDescent="0.25">
      <c r="A219" s="42" t="s">
        <v>12</v>
      </c>
      <c r="B219" s="42" t="s">
        <v>12</v>
      </c>
      <c r="H219" s="48"/>
      <c r="I219" s="48">
        <f t="shared" si="3"/>
        <v>0</v>
      </c>
      <c r="K219" s="48">
        <f>'Fælles adm.'!J220</f>
        <v>0</v>
      </c>
      <c r="L219" s="48">
        <f>Odense!J220</f>
        <v>0</v>
      </c>
      <c r="M219" s="48">
        <f>Laks!J220</f>
        <v>0</v>
      </c>
      <c r="N219" s="48">
        <f>Assens!J220</f>
        <v>0</v>
      </c>
      <c r="O219" s="48">
        <f>Nyborg!J220</f>
        <v>0</v>
      </c>
      <c r="P219" s="48">
        <f>Nordfyn!J220</f>
        <v>0</v>
      </c>
      <c r="Q219" s="48">
        <f>Kerteminde!J220</f>
        <v>0</v>
      </c>
      <c r="R219" s="48">
        <f>'Særlige tilskud'!J220</f>
        <v>0</v>
      </c>
    </row>
    <row r="220" spans="1:18" x14ac:dyDescent="0.25">
      <c r="A220" s="43" t="s">
        <v>379</v>
      </c>
      <c r="B220" s="43" t="s">
        <v>380</v>
      </c>
      <c r="C220" s="46"/>
      <c r="D220" s="46"/>
      <c r="E220" s="46"/>
      <c r="F220" s="46"/>
      <c r="G220" s="46"/>
      <c r="H220" s="5"/>
      <c r="I220" s="5">
        <f t="shared" si="3"/>
        <v>0</v>
      </c>
      <c r="K220" s="5">
        <f>'Fælles adm.'!J221</f>
        <v>0</v>
      </c>
      <c r="L220" s="5">
        <f>Odense!J221</f>
        <v>0</v>
      </c>
      <c r="M220" s="5">
        <f>Laks!J221</f>
        <v>0</v>
      </c>
      <c r="N220" s="5">
        <f>Assens!J221</f>
        <v>0</v>
      </c>
      <c r="O220" s="5">
        <f>Nyborg!J221</f>
        <v>0</v>
      </c>
      <c r="P220" s="5">
        <f>Nordfyn!J221</f>
        <v>0</v>
      </c>
      <c r="Q220" s="5">
        <f>Kerteminde!J221</f>
        <v>0</v>
      </c>
      <c r="R220" s="5">
        <f>'Særlige tilskud'!J221</f>
        <v>0</v>
      </c>
    </row>
    <row r="221" spans="1:18" x14ac:dyDescent="0.25">
      <c r="A221" s="42" t="s">
        <v>381</v>
      </c>
      <c r="B221" s="42" t="s">
        <v>380</v>
      </c>
      <c r="H221" s="48">
        <v>0</v>
      </c>
      <c r="I221" s="48">
        <f t="shared" si="3"/>
        <v>0</v>
      </c>
      <c r="K221" s="48">
        <f>'Fælles adm.'!J222</f>
        <v>0</v>
      </c>
      <c r="L221" s="48">
        <f>Odense!J222</f>
        <v>0</v>
      </c>
      <c r="M221" s="48">
        <f>Laks!J222</f>
        <v>0</v>
      </c>
      <c r="N221" s="48">
        <f>Assens!J222</f>
        <v>0</v>
      </c>
      <c r="O221" s="48">
        <f>Nyborg!J222</f>
        <v>0</v>
      </c>
      <c r="P221" s="48">
        <f>Nordfyn!J222</f>
        <v>0</v>
      </c>
      <c r="Q221" s="48">
        <f>Kerteminde!J222</f>
        <v>0</v>
      </c>
      <c r="R221" s="48">
        <f>'Særlige tilskud'!J222</f>
        <v>0</v>
      </c>
    </row>
    <row r="222" spans="1:18" x14ac:dyDescent="0.25">
      <c r="A222" s="43" t="s">
        <v>382</v>
      </c>
      <c r="B222" s="43" t="s">
        <v>383</v>
      </c>
      <c r="C222" s="46"/>
      <c r="D222" s="46"/>
      <c r="E222" s="46"/>
      <c r="F222" s="46"/>
      <c r="G222" s="46"/>
      <c r="H222" s="5">
        <v>0</v>
      </c>
      <c r="I222" s="5">
        <f t="shared" si="3"/>
        <v>0</v>
      </c>
      <c r="K222" s="5">
        <f>'Fælles adm.'!J223</f>
        <v>0</v>
      </c>
      <c r="L222" s="5">
        <f>Odense!J223</f>
        <v>0</v>
      </c>
      <c r="M222" s="5">
        <f>Laks!J223</f>
        <v>0</v>
      </c>
      <c r="N222" s="5">
        <f>Assens!J223</f>
        <v>0</v>
      </c>
      <c r="O222" s="5">
        <f>Nyborg!J223</f>
        <v>0</v>
      </c>
      <c r="P222" s="5">
        <f>Nordfyn!J223</f>
        <v>0</v>
      </c>
      <c r="Q222" s="5">
        <f>Kerteminde!J223</f>
        <v>0</v>
      </c>
      <c r="R222" s="5">
        <f>'Særlige tilskud'!J223</f>
        <v>0</v>
      </c>
    </row>
    <row r="223" spans="1:18" x14ac:dyDescent="0.25">
      <c r="A223" s="42" t="s">
        <v>12</v>
      </c>
      <c r="B223" s="42" t="s">
        <v>12</v>
      </c>
      <c r="H223" s="48"/>
      <c r="I223" s="48">
        <f t="shared" si="3"/>
        <v>0</v>
      </c>
      <c r="K223" s="48">
        <f>'Fælles adm.'!J224</f>
        <v>0</v>
      </c>
      <c r="L223" s="48">
        <f>Odense!J224</f>
        <v>0</v>
      </c>
      <c r="M223" s="48">
        <f>Laks!J224</f>
        <v>0</v>
      </c>
      <c r="N223" s="48">
        <f>Assens!J224</f>
        <v>0</v>
      </c>
      <c r="O223" s="48">
        <f>Nyborg!J224</f>
        <v>0</v>
      </c>
      <c r="P223" s="48">
        <f>Nordfyn!J224</f>
        <v>0</v>
      </c>
      <c r="Q223" s="48">
        <f>Kerteminde!J224</f>
        <v>0</v>
      </c>
      <c r="R223" s="48">
        <f>'Særlige tilskud'!J224</f>
        <v>0</v>
      </c>
    </row>
    <row r="224" spans="1:18" x14ac:dyDescent="0.25">
      <c r="A224" s="43" t="s">
        <v>384</v>
      </c>
      <c r="B224" s="43" t="s">
        <v>385</v>
      </c>
      <c r="C224" s="46"/>
      <c r="D224" s="46"/>
      <c r="E224" s="46"/>
      <c r="F224" s="46"/>
      <c r="G224" s="46"/>
      <c r="H224" s="5"/>
      <c r="I224" s="5">
        <f t="shared" si="3"/>
        <v>0</v>
      </c>
      <c r="K224" s="5">
        <f>'Fælles adm.'!J225</f>
        <v>0</v>
      </c>
      <c r="L224" s="5">
        <f>Odense!J225</f>
        <v>0</v>
      </c>
      <c r="M224" s="5">
        <f>Laks!J225</f>
        <v>0</v>
      </c>
      <c r="N224" s="5">
        <f>Assens!J225</f>
        <v>0</v>
      </c>
      <c r="O224" s="5">
        <f>Nyborg!J225</f>
        <v>0</v>
      </c>
      <c r="P224" s="5">
        <f>Nordfyn!J225</f>
        <v>0</v>
      </c>
      <c r="Q224" s="5">
        <f>Kerteminde!J225</f>
        <v>0</v>
      </c>
      <c r="R224" s="5">
        <f>'Særlige tilskud'!J225</f>
        <v>0</v>
      </c>
    </row>
    <row r="225" spans="1:18" x14ac:dyDescent="0.25">
      <c r="A225" s="42" t="s">
        <v>386</v>
      </c>
      <c r="B225" s="42" t="s">
        <v>385</v>
      </c>
      <c r="H225" s="48">
        <v>0</v>
      </c>
      <c r="I225" s="48">
        <f t="shared" si="3"/>
        <v>0</v>
      </c>
      <c r="K225" s="48">
        <f>'Fælles adm.'!J226</f>
        <v>0</v>
      </c>
      <c r="L225" s="48">
        <f>Odense!J226</f>
        <v>0</v>
      </c>
      <c r="M225" s="48">
        <f>Laks!J226</f>
        <v>0</v>
      </c>
      <c r="N225" s="48">
        <f>Assens!J226</f>
        <v>0</v>
      </c>
      <c r="O225" s="48">
        <f>Nyborg!J226</f>
        <v>0</v>
      </c>
      <c r="P225" s="48">
        <f>Nordfyn!J226</f>
        <v>0</v>
      </c>
      <c r="Q225" s="48">
        <f>Kerteminde!J226</f>
        <v>0</v>
      </c>
      <c r="R225" s="48">
        <f>'Særlige tilskud'!J226</f>
        <v>0</v>
      </c>
    </row>
    <row r="226" spans="1:18" x14ac:dyDescent="0.25">
      <c r="A226" s="43" t="s">
        <v>387</v>
      </c>
      <c r="B226" s="43" t="s">
        <v>388</v>
      </c>
      <c r="C226" s="46"/>
      <c r="D226" s="46"/>
      <c r="E226" s="46"/>
      <c r="F226" s="46"/>
      <c r="G226" s="46"/>
      <c r="H226" s="5">
        <v>0</v>
      </c>
      <c r="I226" s="5">
        <f t="shared" si="3"/>
        <v>0</v>
      </c>
      <c r="K226" s="5">
        <f>'Fælles adm.'!J227</f>
        <v>0</v>
      </c>
      <c r="L226" s="5">
        <f>Odense!J227</f>
        <v>0</v>
      </c>
      <c r="M226" s="5">
        <f>Laks!J227</f>
        <v>0</v>
      </c>
      <c r="N226" s="5">
        <f>Assens!J227</f>
        <v>0</v>
      </c>
      <c r="O226" s="5">
        <f>Nyborg!J227</f>
        <v>0</v>
      </c>
      <c r="P226" s="5">
        <f>Nordfyn!J227</f>
        <v>0</v>
      </c>
      <c r="Q226" s="5">
        <f>Kerteminde!J227</f>
        <v>0</v>
      </c>
      <c r="R226" s="5">
        <f>'Særlige tilskud'!J227</f>
        <v>0</v>
      </c>
    </row>
    <row r="227" spans="1:18" x14ac:dyDescent="0.25">
      <c r="A227" s="42" t="s">
        <v>12</v>
      </c>
      <c r="B227" s="42" t="s">
        <v>12</v>
      </c>
      <c r="H227" s="48"/>
      <c r="I227" s="48">
        <f t="shared" si="3"/>
        <v>0</v>
      </c>
      <c r="K227" s="48">
        <f>'Fælles adm.'!J228</f>
        <v>0</v>
      </c>
      <c r="L227" s="48">
        <f>Odense!J228</f>
        <v>0</v>
      </c>
      <c r="M227" s="48">
        <f>Laks!J228</f>
        <v>0</v>
      </c>
      <c r="N227" s="48">
        <f>Assens!J228</f>
        <v>0</v>
      </c>
      <c r="O227" s="48">
        <f>Nyborg!J228</f>
        <v>0</v>
      </c>
      <c r="P227" s="48">
        <f>Nordfyn!J228</f>
        <v>0</v>
      </c>
      <c r="Q227" s="48">
        <f>Kerteminde!J228</f>
        <v>0</v>
      </c>
      <c r="R227" s="48">
        <f>'Særlige tilskud'!J228</f>
        <v>0</v>
      </c>
    </row>
    <row r="228" spans="1:18" ht="15.75" thickBot="1" x14ac:dyDescent="0.3">
      <c r="A228" s="44" t="s">
        <v>389</v>
      </c>
      <c r="B228" s="44" t="s">
        <v>390</v>
      </c>
      <c r="C228" s="47">
        <v>8635017.6400000006</v>
      </c>
      <c r="D228" s="47">
        <v>-1120486.18</v>
      </c>
      <c r="E228" s="47">
        <v>870.65</v>
      </c>
      <c r="F228" s="47">
        <v>-770.65</v>
      </c>
      <c r="G228" s="47">
        <v>-9755503.8200000003</v>
      </c>
      <c r="H228" s="6">
        <v>-2851299.0100000016</v>
      </c>
      <c r="I228" s="6">
        <f t="shared" si="3"/>
        <v>4805663.5800000047</v>
      </c>
      <c r="K228" s="6">
        <f>'Fælles adm.'!J229</f>
        <v>0</v>
      </c>
      <c r="L228" s="6">
        <f>Odense!J229</f>
        <v>2182541.1739250012</v>
      </c>
      <c r="M228" s="6">
        <f>Laks!J229</f>
        <v>27464.660000000149</v>
      </c>
      <c r="N228" s="6">
        <f>Assens!J229</f>
        <v>2362759.1569250012</v>
      </c>
      <c r="O228" s="6">
        <f>Nyborg!J229</f>
        <v>358312.84815500118</v>
      </c>
      <c r="P228" s="6">
        <f>Nordfyn!J229</f>
        <v>1754071.7108450001</v>
      </c>
      <c r="Q228" s="6">
        <f>Kerteminde!J229</f>
        <v>120514.03015000094</v>
      </c>
      <c r="R228" s="6">
        <f>'Særlige tilskud'!J229</f>
        <v>-2000000</v>
      </c>
    </row>
    <row r="229" spans="1:18" ht="15.75" thickTop="1" x14ac:dyDescent="0.25">
      <c r="A229" s="42" t="s">
        <v>12</v>
      </c>
      <c r="B229" s="42" t="s">
        <v>12</v>
      </c>
      <c r="H229" s="48"/>
      <c r="I229" s="48">
        <f t="shared" si="3"/>
        <v>0</v>
      </c>
      <c r="K229" s="48">
        <f>'Fælles adm.'!J230</f>
        <v>0</v>
      </c>
      <c r="L229" s="48">
        <f>Odense!J230</f>
        <v>0</v>
      </c>
      <c r="M229" s="48">
        <f>Laks!J230</f>
        <v>0</v>
      </c>
      <c r="N229" s="48">
        <f>Assens!J230</f>
        <v>0</v>
      </c>
      <c r="O229" s="48">
        <f>Nyborg!J230</f>
        <v>0</v>
      </c>
      <c r="P229" s="48">
        <f>Nordfyn!J230</f>
        <v>0</v>
      </c>
      <c r="Q229" s="48">
        <f>Kerteminde!J230</f>
        <v>0</v>
      </c>
      <c r="R229" s="48">
        <f>'Særlige tilskud'!J230</f>
        <v>0</v>
      </c>
    </row>
    <row r="230" spans="1:18" x14ac:dyDescent="0.25">
      <c r="A230" s="43" t="s">
        <v>391</v>
      </c>
      <c r="B230" s="43" t="s">
        <v>392</v>
      </c>
      <c r="C230" s="46"/>
      <c r="D230" s="46"/>
      <c r="E230" s="46"/>
      <c r="F230" s="46"/>
      <c r="G230" s="46"/>
      <c r="H230" s="5"/>
      <c r="I230" s="5">
        <f t="shared" si="3"/>
        <v>0</v>
      </c>
      <c r="K230" s="5">
        <f>'Fælles adm.'!J231</f>
        <v>0</v>
      </c>
      <c r="L230" s="5">
        <f>Odense!J231</f>
        <v>0</v>
      </c>
      <c r="M230" s="5">
        <f>Laks!J231</f>
        <v>0</v>
      </c>
      <c r="N230" s="5">
        <f>Assens!J231</f>
        <v>0</v>
      </c>
      <c r="O230" s="5">
        <f>Nyborg!J231</f>
        <v>0</v>
      </c>
      <c r="P230" s="5">
        <f>Nordfyn!J231</f>
        <v>0</v>
      </c>
      <c r="Q230" s="5">
        <f>Kerteminde!J231</f>
        <v>0</v>
      </c>
      <c r="R230" s="5">
        <f>'Særlige tilskud'!J231</f>
        <v>0</v>
      </c>
    </row>
    <row r="231" spans="1:18" x14ac:dyDescent="0.25">
      <c r="A231" s="42" t="s">
        <v>393</v>
      </c>
      <c r="B231" s="42" t="s">
        <v>394</v>
      </c>
      <c r="H231" s="48">
        <v>0</v>
      </c>
      <c r="I231" s="48">
        <f t="shared" si="3"/>
        <v>0</v>
      </c>
      <c r="K231" s="48">
        <f>'Fælles adm.'!J232</f>
        <v>0</v>
      </c>
      <c r="L231" s="48">
        <f>Odense!J232</f>
        <v>0</v>
      </c>
      <c r="M231" s="48">
        <f>Laks!J232</f>
        <v>0</v>
      </c>
      <c r="N231" s="48">
        <f>Assens!J232</f>
        <v>0</v>
      </c>
      <c r="O231" s="48">
        <f>Nyborg!J232</f>
        <v>0</v>
      </c>
      <c r="P231" s="48">
        <f>Nordfyn!J232</f>
        <v>0</v>
      </c>
      <c r="Q231" s="48">
        <f>Kerteminde!J232</f>
        <v>0</v>
      </c>
      <c r="R231" s="48">
        <f>'Særlige tilskud'!J232</f>
        <v>0</v>
      </c>
    </row>
    <row r="232" spans="1:18" x14ac:dyDescent="0.25">
      <c r="A232" s="42" t="s">
        <v>395</v>
      </c>
      <c r="B232" s="42" t="s">
        <v>396</v>
      </c>
      <c r="H232" s="48">
        <v>0</v>
      </c>
      <c r="I232" s="48">
        <f t="shared" si="3"/>
        <v>0</v>
      </c>
      <c r="K232" s="48">
        <f>'Fælles adm.'!J233</f>
        <v>0</v>
      </c>
      <c r="L232" s="48">
        <f>Odense!J233</f>
        <v>0</v>
      </c>
      <c r="M232" s="48">
        <f>Laks!J233</f>
        <v>0</v>
      </c>
      <c r="N232" s="48">
        <f>Assens!J233</f>
        <v>0</v>
      </c>
      <c r="O232" s="48">
        <f>Nyborg!J233</f>
        <v>0</v>
      </c>
      <c r="P232" s="48">
        <f>Nordfyn!J233</f>
        <v>0</v>
      </c>
      <c r="Q232" s="48">
        <f>Kerteminde!J233</f>
        <v>0</v>
      </c>
      <c r="R232" s="48">
        <f>'Særlige tilskud'!J233</f>
        <v>0</v>
      </c>
    </row>
    <row r="233" spans="1:18" x14ac:dyDescent="0.25">
      <c r="A233" s="42" t="s">
        <v>397</v>
      </c>
      <c r="B233" s="42" t="s">
        <v>398</v>
      </c>
      <c r="H233" s="48">
        <v>0</v>
      </c>
      <c r="I233" s="48">
        <f t="shared" si="3"/>
        <v>0</v>
      </c>
      <c r="K233" s="48">
        <f>'Fælles adm.'!J234</f>
        <v>0</v>
      </c>
      <c r="L233" s="48">
        <f>Odense!J234</f>
        <v>0</v>
      </c>
      <c r="M233" s="48">
        <f>Laks!J234</f>
        <v>0</v>
      </c>
      <c r="N233" s="48">
        <f>Assens!J234</f>
        <v>0</v>
      </c>
      <c r="O233" s="48">
        <f>Nyborg!J234</f>
        <v>0</v>
      </c>
      <c r="P233" s="48">
        <f>Nordfyn!J234</f>
        <v>0</v>
      </c>
      <c r="Q233" s="48">
        <f>Kerteminde!J234</f>
        <v>0</v>
      </c>
      <c r="R233" s="48">
        <f>'Særlige tilskud'!J234</f>
        <v>0</v>
      </c>
    </row>
    <row r="234" spans="1:18" x14ac:dyDescent="0.25">
      <c r="A234" s="43" t="s">
        <v>399</v>
      </c>
      <c r="B234" s="43" t="s">
        <v>400</v>
      </c>
      <c r="C234" s="46"/>
      <c r="D234" s="46"/>
      <c r="E234" s="46"/>
      <c r="F234" s="46"/>
      <c r="G234" s="46"/>
      <c r="H234" s="5">
        <v>0</v>
      </c>
      <c r="I234" s="5">
        <f t="shared" si="3"/>
        <v>0</v>
      </c>
      <c r="K234" s="5">
        <f>'Fælles adm.'!J235</f>
        <v>0</v>
      </c>
      <c r="L234" s="5">
        <f>Odense!J235</f>
        <v>0</v>
      </c>
      <c r="M234" s="5">
        <f>Laks!J235</f>
        <v>0</v>
      </c>
      <c r="N234" s="5">
        <f>Assens!J235</f>
        <v>0</v>
      </c>
      <c r="O234" s="5">
        <f>Nyborg!J235</f>
        <v>0</v>
      </c>
      <c r="P234" s="5">
        <f>Nordfyn!J235</f>
        <v>0</v>
      </c>
      <c r="Q234" s="5">
        <f>Kerteminde!J235</f>
        <v>0</v>
      </c>
      <c r="R234" s="5">
        <f>'Særlige tilskud'!J235</f>
        <v>0</v>
      </c>
    </row>
    <row r="235" spans="1:18" x14ac:dyDescent="0.25">
      <c r="A235" s="42" t="s">
        <v>12</v>
      </c>
      <c r="B235" s="42" t="s">
        <v>12</v>
      </c>
      <c r="H235" s="48">
        <v>0</v>
      </c>
      <c r="I235" s="48">
        <f t="shared" si="3"/>
        <v>0</v>
      </c>
      <c r="K235" s="48">
        <f>'Fælles adm.'!J236</f>
        <v>0</v>
      </c>
      <c r="L235" s="48">
        <f>Odense!J236</f>
        <v>0</v>
      </c>
      <c r="M235" s="48">
        <f>Laks!J236</f>
        <v>0</v>
      </c>
      <c r="N235" s="48">
        <f>Assens!J236</f>
        <v>0</v>
      </c>
      <c r="O235" s="48">
        <f>Nyborg!J236</f>
        <v>0</v>
      </c>
      <c r="P235" s="48">
        <f>Nordfyn!J236</f>
        <v>0</v>
      </c>
      <c r="Q235" s="48">
        <f>Kerteminde!J236</f>
        <v>0</v>
      </c>
      <c r="R235" s="48">
        <f>'Særlige tilskud'!J236</f>
        <v>0</v>
      </c>
    </row>
    <row r="236" spans="1:18" ht="15.75" thickBot="1" x14ac:dyDescent="0.3">
      <c r="A236" s="44" t="s">
        <v>12</v>
      </c>
      <c r="B236" s="44" t="s">
        <v>46</v>
      </c>
      <c r="C236" s="47">
        <v>8635017.6400000006</v>
      </c>
      <c r="D236" s="47">
        <v>-1120486.18</v>
      </c>
      <c r="E236" s="47">
        <v>870.65</v>
      </c>
      <c r="F236" s="47">
        <v>-770.65</v>
      </c>
      <c r="G236" s="47">
        <v>-9755503.8200000003</v>
      </c>
      <c r="H236" s="6">
        <v>-2851299.0100000016</v>
      </c>
      <c r="I236" s="6">
        <f t="shared" si="3"/>
        <v>2362759.1569250012</v>
      </c>
      <c r="K236" s="6">
        <f>'Fælles adm.'!J237</f>
        <v>0</v>
      </c>
      <c r="L236" s="6">
        <f>Odense!J237</f>
        <v>0</v>
      </c>
      <c r="M236" s="6">
        <f>Laks!J237</f>
        <v>0</v>
      </c>
      <c r="N236" s="6">
        <f>Assens!J237</f>
        <v>2362759.1569250012</v>
      </c>
      <c r="O236" s="6">
        <f>Nyborg!J237</f>
        <v>0</v>
      </c>
      <c r="P236" s="6">
        <f>Nordfyn!J237</f>
        <v>0</v>
      </c>
      <c r="Q236" s="6">
        <f>Kerteminde!J237</f>
        <v>0</v>
      </c>
      <c r="R236" s="6">
        <f>'Særlige tilskud'!J237</f>
        <v>0</v>
      </c>
    </row>
    <row r="237" spans="1:18" ht="15.75" thickTop="1" x14ac:dyDescent="0.25">
      <c r="A237" s="42" t="s">
        <v>12</v>
      </c>
      <c r="B237" s="42" t="s">
        <v>12</v>
      </c>
      <c r="H237" s="48"/>
      <c r="I237" s="48">
        <f t="shared" si="3"/>
        <v>0</v>
      </c>
      <c r="K237" s="48">
        <f>'Fælles adm.'!J238</f>
        <v>0</v>
      </c>
      <c r="L237" s="48">
        <f>Odense!J238</f>
        <v>0</v>
      </c>
      <c r="M237" s="48">
        <f>Laks!J238</f>
        <v>0</v>
      </c>
      <c r="N237" s="48">
        <f>Assens!J238</f>
        <v>0</v>
      </c>
      <c r="O237" s="48">
        <f>Nyborg!J238</f>
        <v>0</v>
      </c>
      <c r="P237" s="48">
        <f>Nordfyn!J238</f>
        <v>0</v>
      </c>
      <c r="Q237" s="48">
        <f>Kerteminde!J238</f>
        <v>0</v>
      </c>
      <c r="R237" s="48">
        <f>'Særlige tilskud'!J238</f>
        <v>0</v>
      </c>
    </row>
    <row r="238" spans="1:18" x14ac:dyDescent="0.25">
      <c r="A238" s="42" t="s">
        <v>401</v>
      </c>
      <c r="B238" s="42" t="s">
        <v>402</v>
      </c>
      <c r="H238" s="48">
        <v>0</v>
      </c>
      <c r="I238" s="48">
        <f t="shared" si="3"/>
        <v>0</v>
      </c>
      <c r="K238" s="48">
        <f>'Fælles adm.'!J239</f>
        <v>0</v>
      </c>
      <c r="L238" s="48">
        <f>Odense!J239</f>
        <v>0</v>
      </c>
      <c r="M238" s="48">
        <f>Laks!J239</f>
        <v>0</v>
      </c>
      <c r="N238" s="48">
        <f>Assens!J239</f>
        <v>0</v>
      </c>
      <c r="O238" s="48">
        <f>Nyborg!J239</f>
        <v>0</v>
      </c>
      <c r="P238" s="48">
        <f>Nordfyn!J239</f>
        <v>0</v>
      </c>
      <c r="Q238" s="48">
        <f>Kerteminde!J239</f>
        <v>0</v>
      </c>
      <c r="R238" s="48">
        <f>'Særlige tilskud'!J239</f>
        <v>0</v>
      </c>
    </row>
    <row r="239" spans="1:18" x14ac:dyDescent="0.25">
      <c r="A239" s="42" t="s">
        <v>403</v>
      </c>
      <c r="B239" s="42" t="s">
        <v>404</v>
      </c>
      <c r="C239" s="45">
        <v>85929.24</v>
      </c>
      <c r="G239" s="45">
        <v>-85929.24</v>
      </c>
      <c r="H239" s="48">
        <v>0</v>
      </c>
      <c r="I239" s="48">
        <f t="shared" si="3"/>
        <v>0</v>
      </c>
      <c r="K239" s="48">
        <f>'Fælles adm.'!J240</f>
        <v>0</v>
      </c>
      <c r="L239" s="48">
        <f>Odense!J240</f>
        <v>0</v>
      </c>
      <c r="M239" s="48">
        <f>Laks!J240</f>
        <v>0</v>
      </c>
      <c r="N239" s="48">
        <f>Assens!J240</f>
        <v>0</v>
      </c>
      <c r="O239" s="48">
        <f>Nyborg!J240</f>
        <v>0</v>
      </c>
      <c r="P239" s="48">
        <f>Nordfyn!J240</f>
        <v>0</v>
      </c>
      <c r="Q239" s="48">
        <f>Kerteminde!J240</f>
        <v>0</v>
      </c>
      <c r="R239" s="48">
        <f>'Særlige tilskud'!J240</f>
        <v>0</v>
      </c>
    </row>
    <row r="240" spans="1:18" x14ac:dyDescent="0.25">
      <c r="A240" s="42" t="s">
        <v>405</v>
      </c>
      <c r="B240" s="42" t="s">
        <v>406</v>
      </c>
      <c r="C240" s="45">
        <v>-1619347.55</v>
      </c>
      <c r="D240" s="45">
        <v>-3644077.35</v>
      </c>
      <c r="E240" s="45">
        <v>55.56</v>
      </c>
      <c r="F240" s="45">
        <v>44.44</v>
      </c>
      <c r="G240" s="45">
        <v>-2024729.8</v>
      </c>
      <c r="H240" s="48">
        <v>-3146560.6999999997</v>
      </c>
      <c r="I240" s="48">
        <f t="shared" si="3"/>
        <v>-3536874.78</v>
      </c>
      <c r="K240" s="48">
        <f>'Fælles adm.'!J241</f>
        <v>0</v>
      </c>
      <c r="L240" s="48">
        <f>Odense!J241</f>
        <v>-1438476.1099999999</v>
      </c>
      <c r="M240" s="48">
        <f>Laks!J241</f>
        <v>-39547.33</v>
      </c>
      <c r="N240" s="48">
        <f>Assens!J241</f>
        <v>-391818.28</v>
      </c>
      <c r="O240" s="48">
        <f>Nyborg!J241</f>
        <v>-282706.99</v>
      </c>
      <c r="P240" s="48">
        <f>Nordfyn!J241</f>
        <v>-460093.5</v>
      </c>
      <c r="Q240" s="48">
        <f>Kerteminde!J241</f>
        <v>-924232.57</v>
      </c>
      <c r="R240" s="48">
        <f>'Særlige tilskud'!J241</f>
        <v>0</v>
      </c>
    </row>
    <row r="241" spans="1:18" x14ac:dyDescent="0.25">
      <c r="A241" s="42" t="s">
        <v>407</v>
      </c>
      <c r="B241" s="42" t="s">
        <v>408</v>
      </c>
      <c r="H241" s="48">
        <v>0</v>
      </c>
      <c r="I241" s="48">
        <f t="shared" si="3"/>
        <v>0</v>
      </c>
      <c r="K241" s="48">
        <f>'Fælles adm.'!J242</f>
        <v>0</v>
      </c>
      <c r="L241" s="48">
        <f>Odense!J242</f>
        <v>0</v>
      </c>
      <c r="M241" s="48">
        <f>Laks!J242</f>
        <v>0</v>
      </c>
      <c r="N241" s="48">
        <f>Assens!J242</f>
        <v>0</v>
      </c>
      <c r="O241" s="48">
        <f>Nyborg!J242</f>
        <v>0</v>
      </c>
      <c r="P241" s="48">
        <f>Nordfyn!J242</f>
        <v>0</v>
      </c>
      <c r="Q241" s="48">
        <f>Kerteminde!J242</f>
        <v>0</v>
      </c>
      <c r="R241" s="48">
        <f>'Særlige tilskud'!J242</f>
        <v>0</v>
      </c>
    </row>
    <row r="242" spans="1:18" x14ac:dyDescent="0.25">
      <c r="A242" s="43" t="s">
        <v>409</v>
      </c>
      <c r="B242" s="43" t="s">
        <v>410</v>
      </c>
      <c r="C242" s="46">
        <v>-1533418.31</v>
      </c>
      <c r="D242" s="46">
        <v>-3644077.35</v>
      </c>
      <c r="E242" s="46">
        <v>57.92</v>
      </c>
      <c r="F242" s="46">
        <v>42.08</v>
      </c>
      <c r="G242" s="46">
        <v>-2110659.04</v>
      </c>
      <c r="H242" s="5">
        <v>-3146560.6999999997</v>
      </c>
      <c r="I242" s="5">
        <f t="shared" si="3"/>
        <v>-3536874.78</v>
      </c>
      <c r="K242" s="5">
        <f>'Fælles adm.'!J243</f>
        <v>0</v>
      </c>
      <c r="L242" s="5">
        <f>Odense!J243</f>
        <v>-1438476.1099999999</v>
      </c>
      <c r="M242" s="5">
        <f>Laks!J243</f>
        <v>-39547.33</v>
      </c>
      <c r="N242" s="5">
        <f>Assens!J243</f>
        <v>-391818.28</v>
      </c>
      <c r="O242" s="5">
        <f>Nyborg!J243</f>
        <v>-282706.99</v>
      </c>
      <c r="P242" s="5">
        <f>Nordfyn!J243</f>
        <v>-460093.5</v>
      </c>
      <c r="Q242" s="5">
        <f>Kerteminde!J243</f>
        <v>-924232.57</v>
      </c>
      <c r="R242" s="5">
        <f>'Særlige tilskud'!J243</f>
        <v>0</v>
      </c>
    </row>
    <row r="243" spans="1:18" x14ac:dyDescent="0.25">
      <c r="A243" s="42" t="s">
        <v>12</v>
      </c>
      <c r="B243" s="42" t="s">
        <v>12</v>
      </c>
      <c r="H243" s="48"/>
      <c r="I243" s="48">
        <f t="shared" si="3"/>
        <v>0</v>
      </c>
      <c r="K243" s="48">
        <f>'Fælles adm.'!J244</f>
        <v>0</v>
      </c>
      <c r="L243" s="48">
        <f>Odense!J244</f>
        <v>0</v>
      </c>
      <c r="M243" s="48">
        <f>Laks!J244</f>
        <v>0</v>
      </c>
      <c r="N243" s="48">
        <f>Assens!J244</f>
        <v>0</v>
      </c>
      <c r="O243" s="48">
        <f>Nyborg!J244</f>
        <v>0</v>
      </c>
      <c r="P243" s="48">
        <f>Nordfyn!J244</f>
        <v>0</v>
      </c>
      <c r="Q243" s="48">
        <f>Kerteminde!J244</f>
        <v>0</v>
      </c>
      <c r="R243" s="48">
        <f>'Særlige tilskud'!J244</f>
        <v>0</v>
      </c>
    </row>
    <row r="244" spans="1:18" ht="15.75" thickBot="1" x14ac:dyDescent="0.3">
      <c r="A244" s="44" t="s">
        <v>411</v>
      </c>
      <c r="B244" s="44" t="s">
        <v>49</v>
      </c>
      <c r="C244" s="47">
        <v>7101599.3300000001</v>
      </c>
      <c r="D244" s="47">
        <v>-4764563.53</v>
      </c>
      <c r="E244" s="47">
        <v>249.05</v>
      </c>
      <c r="F244" s="47">
        <v>-149.05000000000001</v>
      </c>
      <c r="G244" s="47">
        <v>-11866162.859999999</v>
      </c>
      <c r="H244" s="6">
        <v>-5997859.7100000009</v>
      </c>
      <c r="I244" s="6">
        <f t="shared" si="3"/>
        <v>1268788.8000000049</v>
      </c>
      <c r="K244" s="6">
        <f>'Fælles adm.'!J245</f>
        <v>0</v>
      </c>
      <c r="L244" s="6">
        <f>Odense!J245</f>
        <v>744065.0639250013</v>
      </c>
      <c r="M244" s="6">
        <f>Laks!J245</f>
        <v>-12082.669999999853</v>
      </c>
      <c r="N244" s="6">
        <f>Assens!J245</f>
        <v>1970940.8769250012</v>
      </c>
      <c r="O244" s="6">
        <f>Nyborg!J245</f>
        <v>75605.858155001188</v>
      </c>
      <c r="P244" s="6">
        <f>Nordfyn!J245</f>
        <v>1293978.2108450001</v>
      </c>
      <c r="Q244" s="6">
        <f>Kerteminde!J245</f>
        <v>-803718.53984999901</v>
      </c>
      <c r="R244" s="6">
        <f>'Særlige tilskud'!J245</f>
        <v>-2000000</v>
      </c>
    </row>
    <row r="245" spans="1:18" ht="15.75" thickTop="1" x14ac:dyDescent="0.25">
      <c r="H245" s="48"/>
      <c r="I245" s="48"/>
      <c r="K245" s="48"/>
      <c r="L245" s="48"/>
      <c r="M245" s="48"/>
      <c r="N245" s="48"/>
      <c r="O245" s="48"/>
      <c r="P245" s="48"/>
      <c r="Q245" s="48"/>
      <c r="R245" s="48"/>
    </row>
  </sheetData>
  <sheetProtection algorithmName="SHA-512" hashValue="7vQw4B8Jg0DnV9g+E3Y4Bj5g6x7OdfDtu658vm4Akp8XRrMdcvMoO0cXr7rq2+ylboYrN/vMg0HzcH848Zr+gA==" saltValue="KpuNRijQvn5DAyrI5Ykksg==" spinCount="100000"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97B4EF-3725-4DBD-94EA-D7E9AE3449D4}">
  <sheetPr>
    <tabColor rgb="FFFFC000"/>
  </sheetPr>
  <dimension ref="A1:R245"/>
  <sheetViews>
    <sheetView topLeftCell="A16" workbookViewId="0">
      <selection activeCell="I8" sqref="I8"/>
    </sheetView>
  </sheetViews>
  <sheetFormatPr defaultRowHeight="15" x14ac:dyDescent="0.25"/>
  <cols>
    <col min="1" max="1" width="17.7109375" style="40" bestFit="1" customWidth="1"/>
    <col min="2" max="2" width="48.7109375" style="40" bestFit="1" customWidth="1"/>
    <col min="3" max="3" width="14.28515625" style="45" bestFit="1" customWidth="1"/>
    <col min="4" max="4" width="14.28515625" style="45" hidden="1" customWidth="1"/>
    <col min="5" max="5" width="11.7109375" style="45" hidden="1" customWidth="1"/>
    <col min="6" max="6" width="20.85546875" style="45" hidden="1" customWidth="1"/>
    <col min="7" max="7" width="14.28515625" style="45" hidden="1" customWidth="1"/>
    <col min="8" max="9" width="14.28515625" style="40" bestFit="1" customWidth="1"/>
    <col min="10" max="10" width="22.140625" style="40" customWidth="1"/>
    <col min="11" max="18" width="14.28515625" style="40" bestFit="1" customWidth="1"/>
    <col min="19" max="16384" width="9.140625" style="40"/>
  </cols>
  <sheetData>
    <row r="1" spans="1:18" x14ac:dyDescent="0.25">
      <c r="A1" s="41" t="s">
        <v>0</v>
      </c>
      <c r="H1" s="48"/>
      <c r="I1" s="48"/>
      <c r="K1" s="48"/>
      <c r="L1" s="48"/>
      <c r="M1" s="48"/>
      <c r="N1" s="48"/>
      <c r="O1" s="48"/>
      <c r="P1" s="48"/>
      <c r="Q1" s="48"/>
      <c r="R1" s="48"/>
    </row>
    <row r="2" spans="1:18" x14ac:dyDescent="0.25">
      <c r="A2" s="42" t="s">
        <v>1</v>
      </c>
      <c r="B2" s="42" t="s">
        <v>2</v>
      </c>
      <c r="H2" s="48"/>
      <c r="I2" s="48"/>
      <c r="K2" s="48"/>
      <c r="L2" s="48"/>
      <c r="M2" s="48"/>
      <c r="N2" s="48"/>
      <c r="O2" s="48"/>
      <c r="P2" s="48"/>
      <c r="Q2" s="48"/>
      <c r="R2" s="48"/>
    </row>
    <row r="3" spans="1:18" x14ac:dyDescent="0.25">
      <c r="A3" s="42" t="s">
        <v>3</v>
      </c>
      <c r="B3" s="42" t="s">
        <v>4</v>
      </c>
      <c r="H3" s="48"/>
      <c r="I3" s="48"/>
      <c r="K3" s="48"/>
      <c r="L3" s="48"/>
      <c r="M3" s="48"/>
      <c r="N3" s="48"/>
      <c r="O3" s="48"/>
      <c r="P3" s="48"/>
      <c r="Q3" s="48"/>
      <c r="R3" s="48"/>
    </row>
    <row r="4" spans="1:18" x14ac:dyDescent="0.25">
      <c r="H4" s="48"/>
      <c r="I4" s="48"/>
      <c r="K4" s="48"/>
      <c r="L4" s="48"/>
      <c r="M4" s="48"/>
      <c r="N4" s="48"/>
      <c r="O4" s="48"/>
      <c r="P4" s="48"/>
      <c r="Q4" s="48"/>
      <c r="R4" s="48"/>
    </row>
    <row r="5" spans="1:18" x14ac:dyDescent="0.25">
      <c r="A5" s="42" t="s">
        <v>5</v>
      </c>
      <c r="B5" s="42" t="s">
        <v>6</v>
      </c>
      <c r="H5" s="48"/>
      <c r="I5" s="48"/>
      <c r="K5" s="48"/>
      <c r="L5" s="48"/>
      <c r="M5" s="48"/>
      <c r="N5" s="48"/>
      <c r="O5" s="48"/>
      <c r="P5" s="48"/>
      <c r="Q5" s="48"/>
      <c r="R5" s="48"/>
    </row>
    <row r="6" spans="1:18" ht="30" x14ac:dyDescent="0.25">
      <c r="K6" s="53" t="s">
        <v>429</v>
      </c>
      <c r="L6" s="53" t="s">
        <v>430</v>
      </c>
      <c r="M6" s="53" t="s">
        <v>431</v>
      </c>
      <c r="N6" s="53" t="s">
        <v>432</v>
      </c>
      <c r="O6" s="53" t="s">
        <v>433</v>
      </c>
      <c r="P6" s="53" t="s">
        <v>434</v>
      </c>
      <c r="Q6" s="53" t="s">
        <v>435</v>
      </c>
      <c r="R6" s="112" t="s">
        <v>487</v>
      </c>
    </row>
    <row r="7" spans="1:18" x14ac:dyDescent="0.25">
      <c r="C7" s="46" t="s">
        <v>7</v>
      </c>
      <c r="D7" s="46" t="s">
        <v>8</v>
      </c>
      <c r="E7" s="46" t="s">
        <v>9</v>
      </c>
      <c r="F7" s="46" t="s">
        <v>10</v>
      </c>
      <c r="G7" s="46" t="s">
        <v>11</v>
      </c>
      <c r="H7" s="5" t="s">
        <v>428</v>
      </c>
      <c r="I7" s="5" t="s">
        <v>472</v>
      </c>
      <c r="K7" s="48"/>
      <c r="L7" s="48"/>
      <c r="M7" s="48"/>
      <c r="N7" s="48"/>
      <c r="O7" s="48"/>
      <c r="P7" s="48"/>
      <c r="Q7" s="48"/>
      <c r="R7" s="48"/>
    </row>
    <row r="8" spans="1:18" x14ac:dyDescent="0.25">
      <c r="A8" s="43" t="s">
        <v>12</v>
      </c>
      <c r="B8" s="43" t="s">
        <v>13</v>
      </c>
      <c r="C8" s="46" t="s">
        <v>478</v>
      </c>
      <c r="D8" s="46"/>
      <c r="E8" s="46"/>
      <c r="F8" s="46"/>
      <c r="G8" s="46"/>
      <c r="H8" s="88"/>
      <c r="I8" s="88">
        <v>2022</v>
      </c>
      <c r="K8" s="88"/>
      <c r="L8" s="88"/>
      <c r="M8" s="88"/>
      <c r="N8" s="88"/>
      <c r="O8" s="88"/>
      <c r="P8" s="88"/>
      <c r="Q8" s="88"/>
      <c r="R8" s="88"/>
    </row>
    <row r="9" spans="1:18" x14ac:dyDescent="0.25">
      <c r="A9" s="42" t="s">
        <v>12</v>
      </c>
      <c r="B9" s="42" t="s">
        <v>12</v>
      </c>
      <c r="H9" s="48"/>
      <c r="I9" s="48"/>
      <c r="K9" s="48"/>
      <c r="L9" s="48"/>
      <c r="M9" s="48"/>
      <c r="N9" s="48"/>
      <c r="O9" s="48"/>
      <c r="P9" s="48"/>
      <c r="Q9" s="48"/>
      <c r="R9" s="48"/>
    </row>
    <row r="10" spans="1:18" x14ac:dyDescent="0.25">
      <c r="A10" s="42" t="s">
        <v>14</v>
      </c>
      <c r="B10" s="42" t="s">
        <v>15</v>
      </c>
      <c r="C10" s="45">
        <v>46576460.770000003</v>
      </c>
      <c r="D10" s="45">
        <v>90947976.510000005</v>
      </c>
      <c r="E10" s="45">
        <v>48.79</v>
      </c>
      <c r="F10" s="45">
        <v>51.21</v>
      </c>
      <c r="G10" s="45">
        <v>44371515.740000002</v>
      </c>
      <c r="H10" s="48">
        <v>79521201.560000002</v>
      </c>
      <c r="I10" s="48">
        <f>SUM(K10:R10)</f>
        <v>68720834</v>
      </c>
      <c r="K10" s="48">
        <f>'Fælles adm.'!K11</f>
        <v>2226850</v>
      </c>
      <c r="L10" s="48">
        <f>Odense!K11</f>
        <v>23663652</v>
      </c>
      <c r="M10" s="48">
        <f>Laks!K11</f>
        <v>0</v>
      </c>
      <c r="N10" s="48">
        <f>Assens!K11</f>
        <v>10277812</v>
      </c>
      <c r="O10" s="48">
        <f>Nyborg!K11</f>
        <v>11087133</v>
      </c>
      <c r="P10" s="48">
        <f>Nordfyn!K11</f>
        <v>11273019</v>
      </c>
      <c r="Q10" s="48">
        <f>Kerteminde!K11</f>
        <v>10192368</v>
      </c>
      <c r="R10" s="48">
        <f>'Særlige tilskud'!K11</f>
        <v>0</v>
      </c>
    </row>
    <row r="11" spans="1:18" x14ac:dyDescent="0.25">
      <c r="A11" s="42" t="s">
        <v>16</v>
      </c>
      <c r="B11" s="42" t="s">
        <v>17</v>
      </c>
      <c r="C11" s="45">
        <v>3310489.05</v>
      </c>
      <c r="D11" s="45">
        <v>5639295.6699999999</v>
      </c>
      <c r="E11" s="45">
        <v>41.3</v>
      </c>
      <c r="F11" s="45">
        <v>58.7</v>
      </c>
      <c r="G11" s="45">
        <v>2328806.62</v>
      </c>
      <c r="H11" s="48">
        <v>5844287.0500000007</v>
      </c>
      <c r="I11" s="48">
        <f t="shared" ref="I11:I74" si="0">SUM(K11:R11)</f>
        <v>5462043.4000000004</v>
      </c>
      <c r="K11" s="48">
        <f>'Fælles adm.'!K12</f>
        <v>0</v>
      </c>
      <c r="L11" s="48">
        <f>Odense!K12</f>
        <v>560073.6</v>
      </c>
      <c r="M11" s="48">
        <f>Laks!K12</f>
        <v>3041500</v>
      </c>
      <c r="N11" s="48">
        <f>Assens!K12</f>
        <v>753196.8</v>
      </c>
      <c r="O11" s="48">
        <f>Nyborg!K12</f>
        <v>152000</v>
      </c>
      <c r="P11" s="48">
        <f>Nordfyn!K12</f>
        <v>667612</v>
      </c>
      <c r="Q11" s="48">
        <f>Kerteminde!K12</f>
        <v>287661</v>
      </c>
      <c r="R11" s="48">
        <f>'Særlige tilskud'!K12</f>
        <v>0</v>
      </c>
    </row>
    <row r="12" spans="1:18" x14ac:dyDescent="0.25">
      <c r="A12" s="42" t="s">
        <v>18</v>
      </c>
      <c r="B12" s="42" t="s">
        <v>19</v>
      </c>
      <c r="C12" s="45">
        <v>362884.2</v>
      </c>
      <c r="G12" s="45">
        <v>-362884.2</v>
      </c>
      <c r="H12" s="48">
        <v>698365.85000000009</v>
      </c>
      <c r="I12" s="48">
        <f t="shared" si="0"/>
        <v>693721.35000000009</v>
      </c>
      <c r="K12" s="48">
        <f>'Fælles adm.'!K13</f>
        <v>0</v>
      </c>
      <c r="L12" s="48">
        <f>Odense!K13</f>
        <v>469392</v>
      </c>
      <c r="M12" s="48">
        <f>Laks!K13</f>
        <v>0</v>
      </c>
      <c r="N12" s="48">
        <f>Assens!K13</f>
        <v>0</v>
      </c>
      <c r="O12" s="48">
        <f>Nyborg!K13</f>
        <v>22758.05</v>
      </c>
      <c r="P12" s="48">
        <f>Nordfyn!K13</f>
        <v>51089.5</v>
      </c>
      <c r="Q12" s="48">
        <f>Kerteminde!K13</f>
        <v>150481.79999999999</v>
      </c>
      <c r="R12" s="48">
        <f>'Særlige tilskud'!K13</f>
        <v>0</v>
      </c>
    </row>
    <row r="13" spans="1:18" x14ac:dyDescent="0.25">
      <c r="A13" s="43" t="s">
        <v>20</v>
      </c>
      <c r="B13" s="43" t="s">
        <v>21</v>
      </c>
      <c r="C13" s="46">
        <v>50249834.020000003</v>
      </c>
      <c r="D13" s="46">
        <v>96587272.180000007</v>
      </c>
      <c r="E13" s="46">
        <v>47.97</v>
      </c>
      <c r="F13" s="46">
        <v>52.03</v>
      </c>
      <c r="G13" s="46">
        <v>46337438.159999996</v>
      </c>
      <c r="H13" s="5">
        <v>86063854.460000008</v>
      </c>
      <c r="I13" s="5">
        <f t="shared" si="0"/>
        <v>74876598.75</v>
      </c>
      <c r="K13" s="5">
        <f>'Fælles adm.'!K14</f>
        <v>2226850</v>
      </c>
      <c r="L13" s="5">
        <f>Odense!K14</f>
        <v>24693117.600000001</v>
      </c>
      <c r="M13" s="5">
        <f>Laks!K14</f>
        <v>3041500</v>
      </c>
      <c r="N13" s="5">
        <f>Assens!K14</f>
        <v>11031008.800000001</v>
      </c>
      <c r="O13" s="5">
        <f>Nyborg!K14</f>
        <v>11261891.050000001</v>
      </c>
      <c r="P13" s="5">
        <f>Nordfyn!K14</f>
        <v>11991720.5</v>
      </c>
      <c r="Q13" s="5">
        <f>Kerteminde!K14</f>
        <v>10630510.800000001</v>
      </c>
      <c r="R13" s="5">
        <f>'Særlige tilskud'!K14</f>
        <v>0</v>
      </c>
    </row>
    <row r="14" spans="1:18" x14ac:dyDescent="0.25">
      <c r="A14" s="42" t="s">
        <v>12</v>
      </c>
      <c r="B14" s="42" t="s">
        <v>12</v>
      </c>
      <c r="H14" s="48"/>
      <c r="I14" s="48">
        <f t="shared" si="0"/>
        <v>0</v>
      </c>
      <c r="K14" s="48">
        <f>'Fælles adm.'!K15</f>
        <v>0</v>
      </c>
      <c r="L14" s="48">
        <f>Odense!K15</f>
        <v>0</v>
      </c>
      <c r="M14" s="48">
        <f>Laks!K15</f>
        <v>0</v>
      </c>
      <c r="N14" s="48">
        <f>Assens!K15</f>
        <v>0</v>
      </c>
      <c r="O14" s="48">
        <f>Nyborg!K15</f>
        <v>0</v>
      </c>
      <c r="P14" s="48">
        <f>Nordfyn!K15</f>
        <v>0</v>
      </c>
      <c r="Q14" s="48">
        <f>Kerteminde!K15</f>
        <v>0</v>
      </c>
      <c r="R14" s="48">
        <f>'Særlige tilskud'!K15</f>
        <v>0</v>
      </c>
    </row>
    <row r="15" spans="1:18" x14ac:dyDescent="0.25">
      <c r="A15" s="43" t="s">
        <v>12</v>
      </c>
      <c r="B15" s="43" t="s">
        <v>22</v>
      </c>
      <c r="C15" s="46"/>
      <c r="D15" s="46"/>
      <c r="E15" s="46"/>
      <c r="F15" s="46"/>
      <c r="G15" s="46"/>
      <c r="H15" s="5"/>
      <c r="I15" s="5">
        <f t="shared" si="0"/>
        <v>0</v>
      </c>
      <c r="K15" s="5">
        <f>'Fælles adm.'!K16</f>
        <v>0</v>
      </c>
      <c r="L15" s="5">
        <f>Odense!K16</f>
        <v>0</v>
      </c>
      <c r="M15" s="5">
        <f>Laks!K16</f>
        <v>0</v>
      </c>
      <c r="N15" s="5">
        <f>Assens!K16</f>
        <v>0</v>
      </c>
      <c r="O15" s="5">
        <f>Nyborg!K16</f>
        <v>0</v>
      </c>
      <c r="P15" s="5">
        <f>Nordfyn!K16</f>
        <v>0</v>
      </c>
      <c r="Q15" s="5">
        <f>Kerteminde!K16</f>
        <v>0</v>
      </c>
      <c r="R15" s="5">
        <f>'Særlige tilskud'!K16</f>
        <v>0</v>
      </c>
    </row>
    <row r="16" spans="1:18" x14ac:dyDescent="0.25">
      <c r="A16" s="42" t="s">
        <v>23</v>
      </c>
      <c r="B16" s="42" t="s">
        <v>24</v>
      </c>
      <c r="H16" s="48">
        <v>0</v>
      </c>
      <c r="I16" s="48">
        <f t="shared" si="0"/>
        <v>0</v>
      </c>
      <c r="K16" s="48">
        <f>'Fælles adm.'!K17</f>
        <v>0</v>
      </c>
      <c r="L16" s="48">
        <f>Odense!K17</f>
        <v>0</v>
      </c>
      <c r="M16" s="48">
        <f>Laks!K17</f>
        <v>0</v>
      </c>
      <c r="N16" s="48">
        <f>Assens!K17</f>
        <v>0</v>
      </c>
      <c r="O16" s="48">
        <f>Nyborg!K17</f>
        <v>0</v>
      </c>
      <c r="P16" s="48">
        <f>Nordfyn!K17</f>
        <v>0</v>
      </c>
      <c r="Q16" s="48">
        <f>Kerteminde!K17</f>
        <v>0</v>
      </c>
      <c r="R16" s="48">
        <f>'Særlige tilskud'!K17</f>
        <v>0</v>
      </c>
    </row>
    <row r="17" spans="1:18" x14ac:dyDescent="0.25">
      <c r="A17" s="42" t="s">
        <v>25</v>
      </c>
      <c r="B17" s="42" t="s">
        <v>26</v>
      </c>
      <c r="C17" s="45">
        <v>-459230.14</v>
      </c>
      <c r="D17" s="45">
        <v>-1051606</v>
      </c>
      <c r="E17" s="45">
        <v>56.33</v>
      </c>
      <c r="F17" s="45">
        <v>43.67</v>
      </c>
      <c r="G17" s="45">
        <v>-592375.86</v>
      </c>
      <c r="H17" s="48">
        <v>-862265.81</v>
      </c>
      <c r="I17" s="48">
        <f t="shared" si="0"/>
        <v>-850881.97</v>
      </c>
      <c r="K17" s="48">
        <f>'Fælles adm.'!K18</f>
        <v>0</v>
      </c>
      <c r="L17" s="48">
        <f>Odense!K18</f>
        <v>-13544.869999999999</v>
      </c>
      <c r="M17" s="48">
        <f>Laks!K18</f>
        <v>-5496.4</v>
      </c>
      <c r="N17" s="48">
        <f>Assens!K18</f>
        <v>-168399.45</v>
      </c>
      <c r="O17" s="48">
        <f>Nyborg!K18</f>
        <v>-166854.25</v>
      </c>
      <c r="P17" s="48">
        <f>Nordfyn!K18</f>
        <v>-313327</v>
      </c>
      <c r="Q17" s="48">
        <f>Kerteminde!K18</f>
        <v>-183260</v>
      </c>
      <c r="R17" s="48">
        <f>'Særlige tilskud'!K18</f>
        <v>0</v>
      </c>
    </row>
    <row r="18" spans="1:18" x14ac:dyDescent="0.25">
      <c r="A18" s="42" t="s">
        <v>27</v>
      </c>
      <c r="B18" s="42" t="s">
        <v>28</v>
      </c>
      <c r="H18" s="48"/>
      <c r="I18" s="48">
        <f t="shared" si="0"/>
        <v>0</v>
      </c>
      <c r="K18" s="48">
        <f>'Fælles adm.'!K19</f>
        <v>0</v>
      </c>
      <c r="L18" s="48">
        <f>Odense!K19</f>
        <v>0</v>
      </c>
      <c r="M18" s="48">
        <f>Laks!K19</f>
        <v>0</v>
      </c>
      <c r="N18" s="48">
        <f>Assens!K19</f>
        <v>0</v>
      </c>
      <c r="O18" s="48">
        <f>Nyborg!K19</f>
        <v>0</v>
      </c>
      <c r="P18" s="48">
        <f>Nordfyn!K19</f>
        <v>0</v>
      </c>
      <c r="Q18" s="48">
        <f>Kerteminde!K19</f>
        <v>0</v>
      </c>
      <c r="R18" s="48">
        <f>'Særlige tilskud'!K19</f>
        <v>0</v>
      </c>
    </row>
    <row r="19" spans="1:18" x14ac:dyDescent="0.25">
      <c r="A19" s="42" t="s">
        <v>12</v>
      </c>
      <c r="B19" s="42" t="s">
        <v>12</v>
      </c>
      <c r="H19" s="48"/>
      <c r="I19" s="48">
        <f t="shared" si="0"/>
        <v>0</v>
      </c>
      <c r="K19" s="48">
        <f>'Fælles adm.'!K20</f>
        <v>0</v>
      </c>
      <c r="L19" s="48">
        <f>Odense!K20</f>
        <v>0</v>
      </c>
      <c r="M19" s="48">
        <f>Laks!K20</f>
        <v>0</v>
      </c>
      <c r="N19" s="48">
        <f>Assens!K20</f>
        <v>0</v>
      </c>
      <c r="O19" s="48">
        <f>Nyborg!K20</f>
        <v>0</v>
      </c>
      <c r="P19" s="48">
        <f>Nordfyn!K20</f>
        <v>0</v>
      </c>
      <c r="Q19" s="48">
        <f>Kerteminde!K20</f>
        <v>0</v>
      </c>
      <c r="R19" s="48">
        <f>'Særlige tilskud'!K20</f>
        <v>0</v>
      </c>
    </row>
    <row r="20" spans="1:18" x14ac:dyDescent="0.25">
      <c r="A20" s="42" t="s">
        <v>29</v>
      </c>
      <c r="B20" s="42" t="s">
        <v>30</v>
      </c>
      <c r="C20" s="45">
        <v>-33063795.859999999</v>
      </c>
      <c r="D20" s="45">
        <v>-66770111.689999998</v>
      </c>
      <c r="E20" s="45">
        <v>50.48</v>
      </c>
      <c r="F20" s="45">
        <v>49.52</v>
      </c>
      <c r="G20" s="45">
        <v>-33706315.829999998</v>
      </c>
      <c r="H20" s="48">
        <v>-60585770.510000005</v>
      </c>
      <c r="I20" s="48">
        <f t="shared" si="0"/>
        <v>-42442720.539999999</v>
      </c>
      <c r="K20" s="48">
        <f>'Fælles adm.'!K21</f>
        <v>-4080448.6100000013</v>
      </c>
      <c r="L20" s="48">
        <f>Odense!K21</f>
        <v>-13758958.779999999</v>
      </c>
      <c r="M20" s="48">
        <f>Laks!K21</f>
        <v>-1604499.3900000001</v>
      </c>
      <c r="N20" s="48">
        <f>Assens!K21</f>
        <v>-5036736.45</v>
      </c>
      <c r="O20" s="48">
        <f>Nyborg!K21</f>
        <v>-7101964.2399999993</v>
      </c>
      <c r="P20" s="48">
        <f>Nordfyn!K21</f>
        <v>-6398765.1200000001</v>
      </c>
      <c r="Q20" s="48">
        <f>Kerteminde!K21</f>
        <v>-4461347.95</v>
      </c>
      <c r="R20" s="48">
        <f>'Særlige tilskud'!K21</f>
        <v>0</v>
      </c>
    </row>
    <row r="21" spans="1:18" x14ac:dyDescent="0.25">
      <c r="A21" s="43" t="s">
        <v>31</v>
      </c>
      <c r="B21" s="43" t="s">
        <v>32</v>
      </c>
      <c r="C21" s="46">
        <v>-33523026</v>
      </c>
      <c r="D21" s="46">
        <v>-67821717.689999998</v>
      </c>
      <c r="E21" s="46">
        <v>50.57</v>
      </c>
      <c r="F21" s="46">
        <v>49.43</v>
      </c>
      <c r="G21" s="46">
        <v>-34298691.689999998</v>
      </c>
      <c r="H21" s="5">
        <v>-60585770.510000005</v>
      </c>
      <c r="I21" s="5">
        <f t="shared" si="0"/>
        <v>-42756047.539999999</v>
      </c>
      <c r="K21" s="5">
        <f>'Fælles adm.'!K22</f>
        <v>-4080448.6100000013</v>
      </c>
      <c r="L21" s="5">
        <f>Odense!K22</f>
        <v>-13758958.779999999</v>
      </c>
      <c r="M21" s="5">
        <f>Laks!K22</f>
        <v>-1604499.3900000001</v>
      </c>
      <c r="N21" s="5">
        <f>Assens!K22</f>
        <v>-5036736.45</v>
      </c>
      <c r="O21" s="5">
        <f>Nyborg!K22</f>
        <v>-7101964.2399999993</v>
      </c>
      <c r="P21" s="5">
        <f>Nordfyn!K22</f>
        <v>-6712092.1200000001</v>
      </c>
      <c r="Q21" s="5">
        <f>Kerteminde!K22</f>
        <v>-4461347.95</v>
      </c>
      <c r="R21" s="5">
        <f>'Særlige tilskud'!K22</f>
        <v>0</v>
      </c>
    </row>
    <row r="22" spans="1:18" x14ac:dyDescent="0.25">
      <c r="A22" s="42" t="s">
        <v>12</v>
      </c>
      <c r="B22" s="42" t="s">
        <v>12</v>
      </c>
      <c r="H22" s="48"/>
      <c r="I22" s="48">
        <f t="shared" si="0"/>
        <v>0</v>
      </c>
      <c r="K22" s="48">
        <f>'Fælles adm.'!K23</f>
        <v>0</v>
      </c>
      <c r="L22" s="48">
        <f>Odense!K23</f>
        <v>0</v>
      </c>
      <c r="M22" s="48">
        <f>Laks!K23</f>
        <v>0</v>
      </c>
      <c r="N22" s="48">
        <f>Assens!K23</f>
        <v>0</v>
      </c>
      <c r="O22" s="48">
        <f>Nyborg!K23</f>
        <v>0</v>
      </c>
      <c r="P22" s="48">
        <f>Nordfyn!K23</f>
        <v>0</v>
      </c>
      <c r="Q22" s="48">
        <f>Kerteminde!K23</f>
        <v>0</v>
      </c>
      <c r="R22" s="48">
        <f>'Særlige tilskud'!K23</f>
        <v>0</v>
      </c>
    </row>
    <row r="23" spans="1:18" x14ac:dyDescent="0.25">
      <c r="A23" s="42" t="s">
        <v>33</v>
      </c>
      <c r="B23" s="42" t="s">
        <v>34</v>
      </c>
      <c r="C23" s="45">
        <v>1186063.17</v>
      </c>
      <c r="D23" s="45">
        <v>813348.36</v>
      </c>
      <c r="E23" s="45">
        <v>-45.82</v>
      </c>
      <c r="F23" s="45">
        <v>145.82</v>
      </c>
      <c r="G23" s="45">
        <v>-372714.81</v>
      </c>
      <c r="H23" s="48">
        <v>1698661.9</v>
      </c>
      <c r="I23" s="48">
        <f t="shared" si="0"/>
        <v>580143.63</v>
      </c>
      <c r="K23" s="48">
        <f>'Fælles adm.'!K24</f>
        <v>42259.63</v>
      </c>
      <c r="L23" s="48">
        <f>Odense!K24</f>
        <v>165880</v>
      </c>
      <c r="M23" s="48">
        <f>Laks!K24</f>
        <v>0</v>
      </c>
      <c r="N23" s="48">
        <f>Assens!K24</f>
        <v>116100</v>
      </c>
      <c r="O23" s="48">
        <f>Nyborg!K24</f>
        <v>50000</v>
      </c>
      <c r="P23" s="48">
        <f>Nordfyn!K24</f>
        <v>103200</v>
      </c>
      <c r="Q23" s="48">
        <f>Kerteminde!K24</f>
        <v>102704</v>
      </c>
      <c r="R23" s="48">
        <f>'Særlige tilskud'!K24</f>
        <v>0</v>
      </c>
    </row>
    <row r="24" spans="1:18" x14ac:dyDescent="0.25">
      <c r="A24" s="42" t="s">
        <v>35</v>
      </c>
      <c r="B24" s="42" t="s">
        <v>36</v>
      </c>
      <c r="C24" s="45">
        <v>-9145002.5</v>
      </c>
      <c r="D24" s="45">
        <v>-30277905.449999999</v>
      </c>
      <c r="E24" s="45">
        <v>69.8</v>
      </c>
      <c r="F24" s="45">
        <v>30.2</v>
      </c>
      <c r="G24" s="45">
        <v>-21132902.949999999</v>
      </c>
      <c r="H24" s="48">
        <v>-28864549.32</v>
      </c>
      <c r="I24" s="48">
        <f t="shared" si="0"/>
        <v>-22223885.509999998</v>
      </c>
      <c r="K24" s="48">
        <f>'Fælles adm.'!K25</f>
        <v>1811338.9799999995</v>
      </c>
      <c r="L24" s="48">
        <f>Odense!K25</f>
        <v>-7052573.2872049995</v>
      </c>
      <c r="M24" s="48">
        <f>Laks!K25</f>
        <v>-1404039.5499999998</v>
      </c>
      <c r="N24" s="48">
        <f>Assens!K25</f>
        <v>-2863523.7530049998</v>
      </c>
      <c r="O24" s="48">
        <f>Nyborg!K25</f>
        <v>-2778709.3506029998</v>
      </c>
      <c r="P24" s="48">
        <f>Nordfyn!K25</f>
        <v>-3196683.6267969999</v>
      </c>
      <c r="Q24" s="48">
        <f>Kerteminde!K25</f>
        <v>-2739694.92239</v>
      </c>
      <c r="R24" s="48">
        <f>'Særlige tilskud'!K25</f>
        <v>-4000000</v>
      </c>
    </row>
    <row r="25" spans="1:18" x14ac:dyDescent="0.25">
      <c r="A25" s="42" t="s">
        <v>37</v>
      </c>
      <c r="B25" s="42" t="s">
        <v>38</v>
      </c>
      <c r="C25" s="45">
        <v>-1246.72</v>
      </c>
      <c r="D25" s="45">
        <v>42000</v>
      </c>
      <c r="E25" s="45">
        <v>102.97</v>
      </c>
      <c r="F25" s="45">
        <v>-2.97</v>
      </c>
      <c r="G25" s="45">
        <v>43246.720000000001</v>
      </c>
      <c r="H25" s="48">
        <v>-246.72000000000003</v>
      </c>
      <c r="I25" s="48">
        <f t="shared" si="0"/>
        <v>0</v>
      </c>
      <c r="K25" s="48">
        <f>'Fælles adm.'!K26</f>
        <v>0</v>
      </c>
      <c r="L25" s="48">
        <f>Odense!K26</f>
        <v>0</v>
      </c>
      <c r="M25" s="48">
        <f>Laks!K26</f>
        <v>0</v>
      </c>
      <c r="N25" s="48">
        <f>Assens!K26</f>
        <v>0</v>
      </c>
      <c r="O25" s="48">
        <f>Nyborg!K26</f>
        <v>0</v>
      </c>
      <c r="P25" s="48">
        <f>Nordfyn!K26</f>
        <v>0</v>
      </c>
      <c r="Q25" s="48">
        <f>Kerteminde!K26</f>
        <v>0</v>
      </c>
      <c r="R25" s="48">
        <f>'Særlige tilskud'!K26</f>
        <v>0</v>
      </c>
    </row>
    <row r="26" spans="1:18" x14ac:dyDescent="0.25">
      <c r="A26" s="42" t="s">
        <v>39</v>
      </c>
      <c r="B26" s="42" t="s">
        <v>40</v>
      </c>
      <c r="C26" s="45">
        <v>-131604.32999999999</v>
      </c>
      <c r="D26" s="45">
        <v>-463483.58</v>
      </c>
      <c r="E26" s="45">
        <v>71.61</v>
      </c>
      <c r="F26" s="45">
        <v>28.39</v>
      </c>
      <c r="G26" s="45">
        <v>-331879.25</v>
      </c>
      <c r="H26" s="48">
        <v>-300983.01</v>
      </c>
      <c r="I26" s="48">
        <f t="shared" si="0"/>
        <v>-283562</v>
      </c>
      <c r="K26" s="48">
        <f>'Fælles adm.'!K27</f>
        <v>0</v>
      </c>
      <c r="L26" s="48">
        <f>Odense!K27</f>
        <v>0</v>
      </c>
      <c r="M26" s="48">
        <f>Laks!K27</f>
        <v>0</v>
      </c>
      <c r="N26" s="48">
        <f>Assens!K27</f>
        <v>0</v>
      </c>
      <c r="O26" s="48">
        <f>Nyborg!K27</f>
        <v>0</v>
      </c>
      <c r="P26" s="48">
        <f>Nordfyn!K27</f>
        <v>-33562</v>
      </c>
      <c r="Q26" s="48">
        <f>Kerteminde!K27</f>
        <v>-250000</v>
      </c>
      <c r="R26" s="48">
        <f>'Særlige tilskud'!K27</f>
        <v>0</v>
      </c>
    </row>
    <row r="27" spans="1:18" x14ac:dyDescent="0.25">
      <c r="A27" s="42" t="s">
        <v>41</v>
      </c>
      <c r="B27" s="42" t="s">
        <v>42</v>
      </c>
      <c r="H27" s="48"/>
      <c r="I27" s="48">
        <f t="shared" si="0"/>
        <v>0</v>
      </c>
      <c r="K27" s="48">
        <f>'Fælles adm.'!K28</f>
        <v>0</v>
      </c>
      <c r="L27" s="48">
        <f>Odense!K28</f>
        <v>0</v>
      </c>
      <c r="M27" s="48">
        <f>Laks!K28</f>
        <v>0</v>
      </c>
      <c r="N27" s="48">
        <f>Assens!K28</f>
        <v>0</v>
      </c>
      <c r="O27" s="48">
        <f>Nyborg!K28</f>
        <v>0</v>
      </c>
      <c r="P27" s="48">
        <f>Nordfyn!K28</f>
        <v>0</v>
      </c>
      <c r="Q27" s="48">
        <f>Kerteminde!K28</f>
        <v>0</v>
      </c>
      <c r="R27" s="48">
        <f>'Særlige tilskud'!K28</f>
        <v>0</v>
      </c>
    </row>
    <row r="28" spans="1:18" x14ac:dyDescent="0.25">
      <c r="A28" s="42" t="s">
        <v>43</v>
      </c>
      <c r="B28" s="42" t="s">
        <v>44</v>
      </c>
      <c r="H28" s="48"/>
      <c r="I28" s="48">
        <f t="shared" si="0"/>
        <v>0</v>
      </c>
      <c r="K28" s="48">
        <f>'Fælles adm.'!K29</f>
        <v>0</v>
      </c>
      <c r="L28" s="48">
        <f>Odense!K29</f>
        <v>0</v>
      </c>
      <c r="M28" s="48">
        <f>Laks!K29</f>
        <v>0</v>
      </c>
      <c r="N28" s="48">
        <f>Assens!K29</f>
        <v>0</v>
      </c>
      <c r="O28" s="48">
        <f>Nyborg!K29</f>
        <v>0</v>
      </c>
      <c r="P28" s="48">
        <f>Nordfyn!K29</f>
        <v>0</v>
      </c>
      <c r="Q28" s="48">
        <f>Kerteminde!K29</f>
        <v>0</v>
      </c>
      <c r="R28" s="48">
        <f>'Særlige tilskud'!K29</f>
        <v>0</v>
      </c>
    </row>
    <row r="29" spans="1:18" x14ac:dyDescent="0.25">
      <c r="A29" s="42" t="s">
        <v>12</v>
      </c>
      <c r="B29" s="42" t="s">
        <v>12</v>
      </c>
      <c r="H29" s="48"/>
      <c r="I29" s="48">
        <f t="shared" si="0"/>
        <v>0</v>
      </c>
      <c r="K29" s="48">
        <f>'Fælles adm.'!K30</f>
        <v>0</v>
      </c>
      <c r="L29" s="48">
        <f>Odense!K30</f>
        <v>0</v>
      </c>
      <c r="M29" s="48">
        <f>Laks!K30</f>
        <v>0</v>
      </c>
      <c r="N29" s="48">
        <f>Assens!K30</f>
        <v>0</v>
      </c>
      <c r="O29" s="48">
        <f>Nyborg!K30</f>
        <v>0</v>
      </c>
      <c r="P29" s="48">
        <f>Nordfyn!K30</f>
        <v>0</v>
      </c>
      <c r="Q29" s="48">
        <f>Kerteminde!K30</f>
        <v>0</v>
      </c>
      <c r="R29" s="48">
        <f>'Særlige tilskud'!K30</f>
        <v>0</v>
      </c>
    </row>
    <row r="30" spans="1:18" ht="15.75" thickBot="1" x14ac:dyDescent="0.3">
      <c r="A30" s="44" t="s">
        <v>45</v>
      </c>
      <c r="B30" s="44" t="s">
        <v>46</v>
      </c>
      <c r="C30" s="47">
        <v>8635017.6400000006</v>
      </c>
      <c r="D30" s="47">
        <v>-1120486.18</v>
      </c>
      <c r="E30" s="47">
        <v>870.65</v>
      </c>
      <c r="F30" s="47">
        <v>-770.65</v>
      </c>
      <c r="G30" s="47">
        <v>-9755503.8200000003</v>
      </c>
      <c r="H30" s="6">
        <v>-2851299.0100000035</v>
      </c>
      <c r="I30" s="6">
        <f t="shared" si="0"/>
        <v>9655692.360000005</v>
      </c>
      <c r="K30" s="6">
        <f>'Fælles adm.'!K31</f>
        <v>-1.862645149230957E-9</v>
      </c>
      <c r="L30" s="6">
        <f>Odense!K31</f>
        <v>4033920.6627950016</v>
      </c>
      <c r="M30" s="6">
        <f>Laks!K31</f>
        <v>27464.660000000149</v>
      </c>
      <c r="N30" s="6">
        <f>Assens!K31</f>
        <v>3078449.1469950015</v>
      </c>
      <c r="O30" s="6">
        <f>Nyborg!K31</f>
        <v>1264363.2093970017</v>
      </c>
      <c r="P30" s="6">
        <f>Nordfyn!K31</f>
        <v>2152582.7532029999</v>
      </c>
      <c r="Q30" s="6">
        <f>Kerteminde!K31</f>
        <v>3098911.9276100006</v>
      </c>
      <c r="R30" s="6">
        <f>'Særlige tilskud'!K31</f>
        <v>-4000000</v>
      </c>
    </row>
    <row r="31" spans="1:18" ht="15.75" thickTop="1" x14ac:dyDescent="0.25">
      <c r="A31" s="42" t="s">
        <v>12</v>
      </c>
      <c r="B31" s="42" t="s">
        <v>12</v>
      </c>
      <c r="H31" s="48"/>
      <c r="I31" s="48">
        <f t="shared" si="0"/>
        <v>0</v>
      </c>
      <c r="K31" s="48">
        <f>'Fælles adm.'!K32</f>
        <v>0</v>
      </c>
      <c r="L31" s="48">
        <f>Odense!K32</f>
        <v>0</v>
      </c>
      <c r="M31" s="48">
        <f>Laks!K32</f>
        <v>0</v>
      </c>
      <c r="N31" s="48">
        <f>Assens!K32</f>
        <v>0</v>
      </c>
      <c r="O31" s="48">
        <f>Nyborg!K32</f>
        <v>0</v>
      </c>
      <c r="P31" s="48">
        <f>Nordfyn!K32</f>
        <v>0</v>
      </c>
      <c r="Q31" s="48">
        <f>Kerteminde!K32</f>
        <v>0</v>
      </c>
      <c r="R31" s="48">
        <f>'Særlige tilskud'!K32</f>
        <v>0</v>
      </c>
    </row>
    <row r="32" spans="1:18" x14ac:dyDescent="0.25">
      <c r="A32" s="42" t="s">
        <v>47</v>
      </c>
      <c r="B32" s="42" t="s">
        <v>48</v>
      </c>
      <c r="C32" s="45">
        <v>-1533418.31</v>
      </c>
      <c r="D32" s="45">
        <v>-3644077.35</v>
      </c>
      <c r="E32" s="45">
        <v>57.92</v>
      </c>
      <c r="F32" s="45">
        <v>42.08</v>
      </c>
      <c r="G32" s="45">
        <v>-2110659.04</v>
      </c>
      <c r="H32" s="48">
        <v>-3146560.6999999997</v>
      </c>
      <c r="I32" s="48">
        <f t="shared" si="0"/>
        <v>-3687939.1799999997</v>
      </c>
      <c r="K32" s="48">
        <f>'Fælles adm.'!K33</f>
        <v>0</v>
      </c>
      <c r="L32" s="48">
        <f>Odense!K33</f>
        <v>-1497540.5099999998</v>
      </c>
      <c r="M32" s="48">
        <f>Laks!K33</f>
        <v>-39547.33</v>
      </c>
      <c r="N32" s="48">
        <f>Assens!K33</f>
        <v>-391818.28</v>
      </c>
      <c r="O32" s="48">
        <f>Nyborg!K33</f>
        <v>-282706.99</v>
      </c>
      <c r="P32" s="48">
        <f>Nordfyn!K33</f>
        <v>-552093.5</v>
      </c>
      <c r="Q32" s="48">
        <f>Kerteminde!K33</f>
        <v>-924232.57</v>
      </c>
      <c r="R32" s="48">
        <f>'Særlige tilskud'!K33</f>
        <v>0</v>
      </c>
    </row>
    <row r="33" spans="1:18" x14ac:dyDescent="0.25">
      <c r="A33" s="42" t="s">
        <v>12</v>
      </c>
      <c r="B33" s="42" t="s">
        <v>12</v>
      </c>
      <c r="H33" s="48"/>
      <c r="I33" s="48">
        <f t="shared" si="0"/>
        <v>0</v>
      </c>
      <c r="K33" s="48">
        <f>'Fælles adm.'!K34</f>
        <v>0</v>
      </c>
      <c r="L33" s="48">
        <f>Odense!K34</f>
        <v>0</v>
      </c>
      <c r="M33" s="48">
        <f>Laks!K34</f>
        <v>0</v>
      </c>
      <c r="N33" s="48">
        <f>Assens!K34</f>
        <v>0</v>
      </c>
      <c r="O33" s="48">
        <f>Nyborg!K34</f>
        <v>0</v>
      </c>
      <c r="P33" s="48">
        <f>Nordfyn!K34</f>
        <v>0</v>
      </c>
      <c r="Q33" s="48">
        <f>Kerteminde!K34</f>
        <v>0</v>
      </c>
      <c r="R33" s="48">
        <f>'Særlige tilskud'!K34</f>
        <v>0</v>
      </c>
    </row>
    <row r="34" spans="1:18" ht="15.75" thickBot="1" x14ac:dyDescent="0.3">
      <c r="A34" s="44" t="s">
        <v>12</v>
      </c>
      <c r="B34" s="44" t="s">
        <v>49</v>
      </c>
      <c r="C34" s="47">
        <v>7101599.3300000001</v>
      </c>
      <c r="D34" s="47">
        <v>-4764563.53</v>
      </c>
      <c r="E34" s="47">
        <v>249.05</v>
      </c>
      <c r="F34" s="47">
        <v>-149.05000000000001</v>
      </c>
      <c r="G34" s="47">
        <v>-11866162.859999999</v>
      </c>
      <c r="H34" s="6">
        <v>-5997859.7100000028</v>
      </c>
      <c r="I34" s="6">
        <f t="shared" si="0"/>
        <v>5967753.1800000034</v>
      </c>
      <c r="K34" s="6">
        <f>'Fælles adm.'!K35</f>
        <v>-1.862645149230957E-9</v>
      </c>
      <c r="L34" s="6">
        <f>Odense!K35</f>
        <v>2536380.1527950019</v>
      </c>
      <c r="M34" s="6">
        <f>Laks!K35</f>
        <v>-12082.669999999853</v>
      </c>
      <c r="N34" s="6">
        <f>Assens!K35</f>
        <v>2686630.8669950012</v>
      </c>
      <c r="O34" s="6">
        <f>Nyborg!K35</f>
        <v>981656.21939700167</v>
      </c>
      <c r="P34" s="6">
        <f>Nordfyn!K35</f>
        <v>1600489.2532029999</v>
      </c>
      <c r="Q34" s="6">
        <f>Kerteminde!K35</f>
        <v>2174679.3576100008</v>
      </c>
      <c r="R34" s="6">
        <f>'Særlige tilskud'!K35</f>
        <v>-4000000</v>
      </c>
    </row>
    <row r="35" spans="1:18" ht="15.75" thickTop="1" x14ac:dyDescent="0.25">
      <c r="A35" s="42" t="s">
        <v>12</v>
      </c>
      <c r="B35" s="42" t="s">
        <v>12</v>
      </c>
      <c r="H35" s="48"/>
      <c r="I35" s="48">
        <f t="shared" si="0"/>
        <v>0</v>
      </c>
      <c r="K35" s="48">
        <f>'Fælles adm.'!K36</f>
        <v>0</v>
      </c>
      <c r="L35" s="48">
        <f>Odense!K36</f>
        <v>0</v>
      </c>
      <c r="M35" s="48">
        <f>Laks!K36</f>
        <v>0</v>
      </c>
      <c r="N35" s="48">
        <f>Assens!K36</f>
        <v>0</v>
      </c>
      <c r="O35" s="48">
        <f>Nyborg!K36</f>
        <v>0</v>
      </c>
      <c r="P35" s="48">
        <f>Nordfyn!K36</f>
        <v>0</v>
      </c>
      <c r="Q35" s="48">
        <f>Kerteminde!K36</f>
        <v>0</v>
      </c>
      <c r="R35" s="48">
        <f>'Særlige tilskud'!K36</f>
        <v>0</v>
      </c>
    </row>
    <row r="36" spans="1:18" x14ac:dyDescent="0.25">
      <c r="A36" s="43" t="s">
        <v>12</v>
      </c>
      <c r="B36" s="43" t="s">
        <v>50</v>
      </c>
      <c r="C36" s="46"/>
      <c r="D36" s="46"/>
      <c r="E36" s="46"/>
      <c r="F36" s="46"/>
      <c r="G36" s="46"/>
      <c r="H36" s="5">
        <v>0</v>
      </c>
      <c r="I36" s="5">
        <f t="shared" si="0"/>
        <v>0</v>
      </c>
      <c r="K36" s="5">
        <f>'Fælles adm.'!K37</f>
        <v>0</v>
      </c>
      <c r="L36" s="5">
        <f>Odense!K37</f>
        <v>0</v>
      </c>
      <c r="M36" s="5">
        <f>Laks!K37</f>
        <v>0</v>
      </c>
      <c r="N36" s="5">
        <f>Assens!K37</f>
        <v>0</v>
      </c>
      <c r="O36" s="5">
        <f>Nyborg!K37</f>
        <v>0</v>
      </c>
      <c r="P36" s="5">
        <f>Nordfyn!K37</f>
        <v>0</v>
      </c>
      <c r="Q36" s="5">
        <f>Kerteminde!K37</f>
        <v>0</v>
      </c>
      <c r="R36" s="5">
        <f>'Særlige tilskud'!K37</f>
        <v>0</v>
      </c>
    </row>
    <row r="37" spans="1:18" x14ac:dyDescent="0.25">
      <c r="A37" s="43"/>
      <c r="B37" s="43"/>
      <c r="C37" s="46"/>
      <c r="D37" s="46"/>
      <c r="E37" s="46"/>
      <c r="F37" s="46"/>
      <c r="G37" s="46"/>
      <c r="H37" s="5"/>
      <c r="I37" s="5">
        <f t="shared" si="0"/>
        <v>0</v>
      </c>
      <c r="K37" s="5">
        <f>'Fælles adm.'!K38</f>
        <v>0</v>
      </c>
      <c r="L37" s="5">
        <f>Odense!K38</f>
        <v>0</v>
      </c>
      <c r="M37" s="5">
        <f>Laks!K38</f>
        <v>0</v>
      </c>
      <c r="N37" s="5">
        <f>Assens!K38</f>
        <v>0</v>
      </c>
      <c r="O37" s="5">
        <f>Nyborg!K38</f>
        <v>0</v>
      </c>
      <c r="P37" s="5">
        <f>Nordfyn!K38</f>
        <v>0</v>
      </c>
      <c r="Q37" s="5">
        <f>Kerteminde!K38</f>
        <v>0</v>
      </c>
      <c r="R37" s="5">
        <f>'Særlige tilskud'!K38</f>
        <v>0</v>
      </c>
    </row>
    <row r="38" spans="1:18" x14ac:dyDescent="0.25">
      <c r="A38" s="43" t="s">
        <v>51</v>
      </c>
      <c r="B38" s="43" t="s">
        <v>52</v>
      </c>
      <c r="C38" s="46"/>
      <c r="D38" s="46"/>
      <c r="E38" s="46"/>
      <c r="F38" s="46"/>
      <c r="G38" s="46"/>
      <c r="H38" s="5"/>
      <c r="I38" s="5">
        <f t="shared" si="0"/>
        <v>0</v>
      </c>
      <c r="K38" s="5">
        <f>'Fælles adm.'!K39</f>
        <v>0</v>
      </c>
      <c r="L38" s="5">
        <f>Odense!K39</f>
        <v>0</v>
      </c>
      <c r="M38" s="5">
        <f>Laks!K39</f>
        <v>0</v>
      </c>
      <c r="N38" s="5">
        <f>Assens!K39</f>
        <v>0</v>
      </c>
      <c r="O38" s="5">
        <f>Nyborg!K39</f>
        <v>0</v>
      </c>
      <c r="P38" s="5">
        <f>Nordfyn!K39</f>
        <v>0</v>
      </c>
      <c r="Q38" s="5">
        <f>Kerteminde!K39</f>
        <v>0</v>
      </c>
      <c r="R38" s="5">
        <f>'Særlige tilskud'!K39</f>
        <v>0</v>
      </c>
    </row>
    <row r="39" spans="1:18" x14ac:dyDescent="0.25">
      <c r="A39" s="42" t="s">
        <v>53</v>
      </c>
      <c r="B39" s="42" t="s">
        <v>54</v>
      </c>
      <c r="C39" s="45">
        <v>28865159.129999999</v>
      </c>
      <c r="D39" s="45">
        <v>64739024.600000001</v>
      </c>
      <c r="E39" s="45">
        <v>55.41</v>
      </c>
      <c r="F39" s="45">
        <v>44.59</v>
      </c>
      <c r="G39" s="45">
        <v>35873865.469999999</v>
      </c>
      <c r="H39" s="49">
        <v>55873421.189999998</v>
      </c>
      <c r="I39" s="49">
        <f t="shared" si="0"/>
        <v>54708532</v>
      </c>
      <c r="K39" s="49">
        <f>'Fælles adm.'!K40</f>
        <v>0</v>
      </c>
      <c r="L39" s="49">
        <f>Odense!K40</f>
        <v>20756712</v>
      </c>
      <c r="M39" s="49">
        <f>Laks!K40</f>
        <v>0</v>
      </c>
      <c r="N39" s="49">
        <f>Assens!K40</f>
        <v>8160008</v>
      </c>
      <c r="O39" s="49">
        <f>Nyborg!K40</f>
        <v>8778409</v>
      </c>
      <c r="P39" s="49">
        <f>Nordfyn!K40</f>
        <v>9053391</v>
      </c>
      <c r="Q39" s="49">
        <f>Kerteminde!K40</f>
        <v>7960012</v>
      </c>
      <c r="R39" s="49">
        <f>'Særlige tilskud'!K40</f>
        <v>0</v>
      </c>
    </row>
    <row r="40" spans="1:18" x14ac:dyDescent="0.25">
      <c r="A40" s="42" t="s">
        <v>55</v>
      </c>
      <c r="B40" s="42" t="s">
        <v>56</v>
      </c>
      <c r="C40" s="45">
        <v>60595.199999999997</v>
      </c>
      <c r="D40" s="45">
        <v>3691120</v>
      </c>
      <c r="E40" s="45">
        <v>98.36</v>
      </c>
      <c r="F40" s="45">
        <v>1.64</v>
      </c>
      <c r="G40" s="45">
        <v>3630524.8</v>
      </c>
      <c r="H40" s="49">
        <v>1300000</v>
      </c>
      <c r="I40" s="49">
        <f t="shared" si="0"/>
        <v>2978352</v>
      </c>
      <c r="K40" s="49">
        <f>'Fælles adm.'!K41</f>
        <v>0</v>
      </c>
      <c r="L40" s="49">
        <f>Odense!K41</f>
        <v>1145520</v>
      </c>
      <c r="M40" s="49">
        <f>Laks!K41</f>
        <v>0</v>
      </c>
      <c r="N40" s="49">
        <f>Assens!K41</f>
        <v>356384</v>
      </c>
      <c r="O40" s="49">
        <f>Nyborg!K41</f>
        <v>547304</v>
      </c>
      <c r="P40" s="49">
        <f>Nordfyn!K41</f>
        <v>458208</v>
      </c>
      <c r="Q40" s="49">
        <f>Kerteminde!K41</f>
        <v>470936</v>
      </c>
      <c r="R40" s="49">
        <f>'Særlige tilskud'!K41</f>
        <v>0</v>
      </c>
    </row>
    <row r="41" spans="1:18" x14ac:dyDescent="0.25">
      <c r="A41" s="42" t="s">
        <v>57</v>
      </c>
      <c r="B41" s="42" t="s">
        <v>58</v>
      </c>
      <c r="C41" s="45">
        <v>107318.33</v>
      </c>
      <c r="G41" s="45">
        <v>-107318.33</v>
      </c>
      <c r="H41" s="49">
        <v>0</v>
      </c>
      <c r="I41" s="49">
        <f t="shared" si="0"/>
        <v>0</v>
      </c>
      <c r="K41" s="49">
        <f>'Fælles adm.'!K42</f>
        <v>0</v>
      </c>
      <c r="L41" s="49">
        <f>Odense!K42</f>
        <v>0</v>
      </c>
      <c r="M41" s="49">
        <f>Laks!K42</f>
        <v>0</v>
      </c>
      <c r="N41" s="49">
        <f>Assens!K42</f>
        <v>0</v>
      </c>
      <c r="O41" s="49">
        <f>Nyborg!K42</f>
        <v>0</v>
      </c>
      <c r="P41" s="49">
        <f>Nordfyn!K42</f>
        <v>0</v>
      </c>
      <c r="Q41" s="49">
        <f>Kerteminde!K42</f>
        <v>0</v>
      </c>
      <c r="R41" s="49">
        <f>'Særlige tilskud'!K42</f>
        <v>0</v>
      </c>
    </row>
    <row r="42" spans="1:18" x14ac:dyDescent="0.25">
      <c r="A42" s="42" t="s">
        <v>59</v>
      </c>
      <c r="B42" s="42" t="s">
        <v>60</v>
      </c>
      <c r="C42" s="45">
        <v>9595.9500000000007</v>
      </c>
      <c r="D42" s="45">
        <v>87235.91</v>
      </c>
      <c r="E42" s="45">
        <v>89</v>
      </c>
      <c r="F42" s="45">
        <v>11</v>
      </c>
      <c r="G42" s="45">
        <v>77639.960000000006</v>
      </c>
      <c r="H42" s="49">
        <v>0</v>
      </c>
      <c r="I42" s="49">
        <f t="shared" si="0"/>
        <v>0</v>
      </c>
      <c r="K42" s="49">
        <f>'Fælles adm.'!K43</f>
        <v>0</v>
      </c>
      <c r="L42" s="49">
        <f>Odense!K43</f>
        <v>0</v>
      </c>
      <c r="M42" s="49">
        <f>Laks!K43</f>
        <v>0</v>
      </c>
      <c r="N42" s="49">
        <f>Assens!K43</f>
        <v>0</v>
      </c>
      <c r="O42" s="49">
        <f>Nyborg!K43</f>
        <v>0</v>
      </c>
      <c r="P42" s="49">
        <f>Nordfyn!K43</f>
        <v>0</v>
      </c>
      <c r="Q42" s="49">
        <f>Kerteminde!K43</f>
        <v>0</v>
      </c>
      <c r="R42" s="49">
        <f>'Særlige tilskud'!K43</f>
        <v>0</v>
      </c>
    </row>
    <row r="43" spans="1:18" x14ac:dyDescent="0.25">
      <c r="A43" s="42" t="s">
        <v>61</v>
      </c>
      <c r="B43" s="42" t="s">
        <v>62</v>
      </c>
      <c r="C43" s="45">
        <v>5516975</v>
      </c>
      <c r="D43" s="45">
        <v>11033950</v>
      </c>
      <c r="E43" s="45">
        <v>50</v>
      </c>
      <c r="F43" s="45">
        <v>50</v>
      </c>
      <c r="G43" s="45">
        <v>5516975</v>
      </c>
      <c r="H43" s="49">
        <v>11033950</v>
      </c>
      <c r="I43" s="49">
        <f t="shared" si="0"/>
        <v>11033950</v>
      </c>
      <c r="K43" s="49">
        <f>'Fælles adm.'!K44</f>
        <v>2226850</v>
      </c>
      <c r="L43" s="49">
        <f>Odense!K44</f>
        <v>1761420</v>
      </c>
      <c r="M43" s="49">
        <f>Laks!K44</f>
        <v>0</v>
      </c>
      <c r="N43" s="49">
        <f>Assens!K44</f>
        <v>1761420</v>
      </c>
      <c r="O43" s="49">
        <f>Nyborg!K44</f>
        <v>1761420</v>
      </c>
      <c r="P43" s="49">
        <f>Nordfyn!K44</f>
        <v>1761420</v>
      </c>
      <c r="Q43" s="49">
        <f>Kerteminde!K44</f>
        <v>1761420</v>
      </c>
      <c r="R43" s="49">
        <f>'Særlige tilskud'!K44</f>
        <v>0</v>
      </c>
    </row>
    <row r="44" spans="1:18" x14ac:dyDescent="0.25">
      <c r="A44" s="42" t="s">
        <v>63</v>
      </c>
      <c r="B44" s="42" t="s">
        <v>64</v>
      </c>
      <c r="C44" s="45">
        <v>12016817.16</v>
      </c>
      <c r="D44" s="45">
        <v>11396646</v>
      </c>
      <c r="E44" s="45">
        <v>-5.44</v>
      </c>
      <c r="F44" s="45">
        <v>105.44</v>
      </c>
      <c r="G44" s="45">
        <v>-620171.16</v>
      </c>
      <c r="H44" s="49">
        <v>10612902.510000002</v>
      </c>
      <c r="I44" s="49">
        <f t="shared" si="0"/>
        <v>0</v>
      </c>
      <c r="K44" s="49">
        <f>'Fælles adm.'!K45</f>
        <v>0</v>
      </c>
      <c r="L44" s="49">
        <f>Odense!K45</f>
        <v>0</v>
      </c>
      <c r="M44" s="49">
        <f>Laks!K45</f>
        <v>0</v>
      </c>
      <c r="N44" s="49">
        <f>Assens!K45</f>
        <v>0</v>
      </c>
      <c r="O44" s="49">
        <f>Nyborg!K45</f>
        <v>0</v>
      </c>
      <c r="P44" s="49">
        <f>Nordfyn!K45</f>
        <v>0</v>
      </c>
      <c r="Q44" s="49">
        <f>Kerteminde!K45</f>
        <v>0</v>
      </c>
      <c r="R44" s="49">
        <f>'Særlige tilskud'!K45</f>
        <v>0</v>
      </c>
    </row>
    <row r="45" spans="1:18" x14ac:dyDescent="0.25">
      <c r="A45" s="43" t="s">
        <v>65</v>
      </c>
      <c r="B45" s="43" t="s">
        <v>66</v>
      </c>
      <c r="C45" s="46">
        <v>46576460.770000003</v>
      </c>
      <c r="D45" s="46">
        <v>90947976.510000005</v>
      </c>
      <c r="E45" s="46">
        <v>48.79</v>
      </c>
      <c r="F45" s="46">
        <v>51.21</v>
      </c>
      <c r="G45" s="46">
        <v>44371515.740000002</v>
      </c>
      <c r="H45" s="50">
        <v>79521201.560000002</v>
      </c>
      <c r="I45" s="50">
        <f t="shared" si="0"/>
        <v>68720834</v>
      </c>
      <c r="K45" s="50">
        <f>'Fælles adm.'!K46</f>
        <v>2226850</v>
      </c>
      <c r="L45" s="50">
        <f>Odense!K46</f>
        <v>23663652</v>
      </c>
      <c r="M45" s="50">
        <f>Laks!K46</f>
        <v>0</v>
      </c>
      <c r="N45" s="50">
        <f>Assens!K46</f>
        <v>10277812</v>
      </c>
      <c r="O45" s="50">
        <f>Nyborg!K46</f>
        <v>11087133</v>
      </c>
      <c r="P45" s="50">
        <f>Nordfyn!K46</f>
        <v>11273019</v>
      </c>
      <c r="Q45" s="50">
        <f>Kerteminde!K46</f>
        <v>10192368</v>
      </c>
      <c r="R45" s="50">
        <f>'Særlige tilskud'!K46</f>
        <v>0</v>
      </c>
    </row>
    <row r="46" spans="1:18" x14ac:dyDescent="0.25">
      <c r="A46" s="42" t="s">
        <v>12</v>
      </c>
      <c r="B46" s="42" t="s">
        <v>12</v>
      </c>
      <c r="H46" s="49"/>
      <c r="I46" s="49">
        <f t="shared" si="0"/>
        <v>0</v>
      </c>
      <c r="K46" s="49">
        <f>'Fælles adm.'!K47</f>
        <v>0</v>
      </c>
      <c r="L46" s="49">
        <f>Odense!K47</f>
        <v>0</v>
      </c>
      <c r="M46" s="49">
        <f>Laks!K47</f>
        <v>0</v>
      </c>
      <c r="N46" s="49">
        <f>Assens!K47</f>
        <v>0</v>
      </c>
      <c r="O46" s="49">
        <f>Nyborg!K47</f>
        <v>0</v>
      </c>
      <c r="P46" s="49">
        <f>Nordfyn!K47</f>
        <v>0</v>
      </c>
      <c r="Q46" s="49">
        <f>Kerteminde!K47</f>
        <v>0</v>
      </c>
      <c r="R46" s="49">
        <f>'Særlige tilskud'!K47</f>
        <v>0</v>
      </c>
    </row>
    <row r="47" spans="1:18" x14ac:dyDescent="0.25">
      <c r="A47" s="43" t="s">
        <v>67</v>
      </c>
      <c r="B47" s="43" t="s">
        <v>68</v>
      </c>
      <c r="C47" s="46"/>
      <c r="D47" s="46"/>
      <c r="E47" s="46"/>
      <c r="F47" s="46"/>
      <c r="G47" s="46"/>
      <c r="H47" s="50"/>
      <c r="I47" s="50">
        <f t="shared" si="0"/>
        <v>0</v>
      </c>
      <c r="K47" s="50">
        <f>'Fælles adm.'!K48</f>
        <v>0</v>
      </c>
      <c r="L47" s="50">
        <f>Odense!K48</f>
        <v>0</v>
      </c>
      <c r="M47" s="50">
        <f>Laks!K48</f>
        <v>0</v>
      </c>
      <c r="N47" s="50">
        <f>Assens!K48</f>
        <v>0</v>
      </c>
      <c r="O47" s="50">
        <f>Nyborg!K48</f>
        <v>0</v>
      </c>
      <c r="P47" s="50">
        <f>Nordfyn!K48</f>
        <v>0</v>
      </c>
      <c r="Q47" s="50">
        <f>Kerteminde!K48</f>
        <v>0</v>
      </c>
      <c r="R47" s="50">
        <f>'Særlige tilskud'!K48</f>
        <v>0</v>
      </c>
    </row>
    <row r="48" spans="1:18" x14ac:dyDescent="0.25">
      <c r="A48" s="42" t="s">
        <v>69</v>
      </c>
      <c r="B48" s="42" t="s">
        <v>70</v>
      </c>
      <c r="H48" s="49"/>
      <c r="I48" s="49">
        <f t="shared" si="0"/>
        <v>0</v>
      </c>
      <c r="K48" s="49">
        <f>'Fælles adm.'!K49</f>
        <v>0</v>
      </c>
      <c r="L48" s="49">
        <f>Odense!K49</f>
        <v>0</v>
      </c>
      <c r="M48" s="49">
        <f>Laks!K49</f>
        <v>0</v>
      </c>
      <c r="N48" s="49">
        <f>Assens!K49</f>
        <v>0</v>
      </c>
      <c r="O48" s="49">
        <f>Nyborg!K49</f>
        <v>0</v>
      </c>
      <c r="P48" s="49">
        <f>Nordfyn!K49</f>
        <v>0</v>
      </c>
      <c r="Q48" s="49">
        <f>Kerteminde!K49</f>
        <v>0</v>
      </c>
      <c r="R48" s="49">
        <f>'Særlige tilskud'!K49</f>
        <v>0</v>
      </c>
    </row>
    <row r="49" spans="1:18" x14ac:dyDescent="0.25">
      <c r="A49" s="42" t="s">
        <v>71</v>
      </c>
      <c r="B49" s="42" t="s">
        <v>72</v>
      </c>
      <c r="C49" s="45">
        <v>115226.65</v>
      </c>
      <c r="G49" s="45">
        <v>-115226.65</v>
      </c>
      <c r="H49" s="49">
        <v>162512.65</v>
      </c>
      <c r="I49" s="49">
        <f t="shared" si="0"/>
        <v>0</v>
      </c>
      <c r="K49" s="49">
        <f>'Fælles adm.'!K50</f>
        <v>0</v>
      </c>
      <c r="L49" s="49">
        <f>Odense!K50</f>
        <v>0</v>
      </c>
      <c r="M49" s="49">
        <f>Laks!K50</f>
        <v>0</v>
      </c>
      <c r="N49" s="49">
        <f>Assens!K50</f>
        <v>0</v>
      </c>
      <c r="O49" s="49">
        <f>Nyborg!K50</f>
        <v>0</v>
      </c>
      <c r="P49" s="49">
        <f>Nordfyn!K50</f>
        <v>0</v>
      </c>
      <c r="Q49" s="49">
        <f>Kerteminde!K50</f>
        <v>0</v>
      </c>
      <c r="R49" s="49">
        <f>'Særlige tilskud'!K50</f>
        <v>0</v>
      </c>
    </row>
    <row r="50" spans="1:18" x14ac:dyDescent="0.25">
      <c r="A50" s="42" t="s">
        <v>73</v>
      </c>
      <c r="B50" s="42" t="s">
        <v>74</v>
      </c>
      <c r="D50" s="45">
        <v>301747</v>
      </c>
      <c r="E50" s="45">
        <v>100</v>
      </c>
      <c r="G50" s="45">
        <v>301747</v>
      </c>
      <c r="H50" s="49">
        <v>0</v>
      </c>
      <c r="I50" s="49">
        <f t="shared" si="0"/>
        <v>0</v>
      </c>
      <c r="K50" s="49">
        <f>'Fælles adm.'!K51</f>
        <v>0</v>
      </c>
      <c r="L50" s="49">
        <f>Odense!K51</f>
        <v>0</v>
      </c>
      <c r="M50" s="49">
        <f>Laks!K51</f>
        <v>0</v>
      </c>
      <c r="N50" s="49">
        <f>Assens!K51</f>
        <v>0</v>
      </c>
      <c r="O50" s="49">
        <f>Nyborg!K51</f>
        <v>0</v>
      </c>
      <c r="P50" s="49">
        <f>Nordfyn!K51</f>
        <v>0</v>
      </c>
      <c r="Q50" s="49">
        <f>Kerteminde!K51</f>
        <v>0</v>
      </c>
      <c r="R50" s="49">
        <f>'Særlige tilskud'!K51</f>
        <v>0</v>
      </c>
    </row>
    <row r="51" spans="1:18" x14ac:dyDescent="0.25">
      <c r="A51" s="42" t="s">
        <v>75</v>
      </c>
      <c r="B51" s="42" t="s">
        <v>76</v>
      </c>
      <c r="C51" s="45">
        <v>151069.5</v>
      </c>
      <c r="G51" s="45">
        <v>-151069.5</v>
      </c>
      <c r="H51" s="49">
        <v>151069.5</v>
      </c>
      <c r="I51" s="49">
        <f t="shared" si="0"/>
        <v>151069.5</v>
      </c>
      <c r="K51" s="49">
        <f>'Fælles adm.'!K52</f>
        <v>0</v>
      </c>
      <c r="L51" s="49">
        <f>Odense!K52</f>
        <v>27187.5</v>
      </c>
      <c r="M51" s="49">
        <f>Laks!K52</f>
        <v>0</v>
      </c>
      <c r="N51" s="49">
        <f>Assens!K52</f>
        <v>18000</v>
      </c>
      <c r="O51" s="49">
        <f>Nyborg!K52</f>
        <v>0</v>
      </c>
      <c r="P51" s="49">
        <f>Nordfyn!K52</f>
        <v>105882</v>
      </c>
      <c r="Q51" s="49">
        <f>Kerteminde!K52</f>
        <v>0</v>
      </c>
      <c r="R51" s="49">
        <f>'Særlige tilskud'!K52</f>
        <v>0</v>
      </c>
    </row>
    <row r="52" spans="1:18" x14ac:dyDescent="0.25">
      <c r="A52" s="42" t="s">
        <v>77</v>
      </c>
      <c r="B52" s="42" t="s">
        <v>78</v>
      </c>
      <c r="C52" s="45">
        <v>4800</v>
      </c>
      <c r="D52" s="45">
        <v>26000</v>
      </c>
      <c r="E52" s="45">
        <v>81.540000000000006</v>
      </c>
      <c r="F52" s="45">
        <v>18.46</v>
      </c>
      <c r="G52" s="45">
        <v>21200</v>
      </c>
      <c r="H52" s="49">
        <v>26000</v>
      </c>
      <c r="I52" s="49">
        <f t="shared" si="0"/>
        <v>26000</v>
      </c>
      <c r="K52" s="49">
        <f>'Fælles adm.'!K53</f>
        <v>0</v>
      </c>
      <c r="L52" s="49">
        <f>Odense!K53</f>
        <v>16000</v>
      </c>
      <c r="M52" s="49">
        <f>Laks!K53</f>
        <v>0</v>
      </c>
      <c r="N52" s="49">
        <f>Assens!K53</f>
        <v>0</v>
      </c>
      <c r="O52" s="49">
        <f>Nyborg!K53</f>
        <v>0</v>
      </c>
      <c r="P52" s="49">
        <f>Nordfyn!K53</f>
        <v>10000</v>
      </c>
      <c r="Q52" s="49">
        <f>Kerteminde!K53</f>
        <v>0</v>
      </c>
      <c r="R52" s="49">
        <f>'Særlige tilskud'!K53</f>
        <v>0</v>
      </c>
    </row>
    <row r="53" spans="1:18" x14ac:dyDescent="0.25">
      <c r="A53" s="42" t="s">
        <v>79</v>
      </c>
      <c r="B53" s="42" t="s">
        <v>80</v>
      </c>
      <c r="C53" s="45">
        <v>13500</v>
      </c>
      <c r="G53" s="45">
        <v>-13500</v>
      </c>
      <c r="H53" s="49">
        <v>13500</v>
      </c>
      <c r="I53" s="49">
        <f t="shared" si="0"/>
        <v>13500</v>
      </c>
      <c r="K53" s="49">
        <f>'Fælles adm.'!K54</f>
        <v>0</v>
      </c>
      <c r="L53" s="49">
        <f>Odense!K54</f>
        <v>0</v>
      </c>
      <c r="M53" s="49">
        <f>Laks!K54</f>
        <v>0</v>
      </c>
      <c r="N53" s="49">
        <f>Assens!K54</f>
        <v>0</v>
      </c>
      <c r="O53" s="49">
        <f>Nyborg!K54</f>
        <v>0</v>
      </c>
      <c r="P53" s="49">
        <f>Nordfyn!K54</f>
        <v>0</v>
      </c>
      <c r="Q53" s="49">
        <f>Kerteminde!K54</f>
        <v>13500</v>
      </c>
      <c r="R53" s="49">
        <f>'Særlige tilskud'!K54</f>
        <v>0</v>
      </c>
    </row>
    <row r="54" spans="1:18" x14ac:dyDescent="0.25">
      <c r="A54" s="42" t="s">
        <v>81</v>
      </c>
      <c r="B54" s="42" t="s">
        <v>82</v>
      </c>
      <c r="C54" s="45">
        <v>2966638.5</v>
      </c>
      <c r="D54" s="45">
        <v>3277907.67</v>
      </c>
      <c r="E54" s="45">
        <v>9.5</v>
      </c>
      <c r="F54" s="45">
        <v>90.5</v>
      </c>
      <c r="G54" s="45">
        <v>311269.17</v>
      </c>
      <c r="H54" s="49">
        <v>3292659.8</v>
      </c>
      <c r="I54" s="49">
        <f t="shared" si="0"/>
        <v>3083128.8</v>
      </c>
      <c r="K54" s="49">
        <f>'Fælles adm.'!K55</f>
        <v>0</v>
      </c>
      <c r="L54" s="49">
        <f>Odense!K55</f>
        <v>12432</v>
      </c>
      <c r="M54" s="49">
        <f>Laks!K55</f>
        <v>3041500</v>
      </c>
      <c r="N54" s="49">
        <f>Assens!K55</f>
        <v>5196.8</v>
      </c>
      <c r="O54" s="49">
        <f>Nyborg!K55</f>
        <v>0</v>
      </c>
      <c r="P54" s="49">
        <f>Nordfyn!K55</f>
        <v>24000</v>
      </c>
      <c r="Q54" s="49">
        <f>Kerteminde!K55</f>
        <v>0</v>
      </c>
      <c r="R54" s="49">
        <f>'Særlige tilskud'!K55</f>
        <v>0</v>
      </c>
    </row>
    <row r="55" spans="1:18" x14ac:dyDescent="0.25">
      <c r="A55" s="42" t="s">
        <v>83</v>
      </c>
      <c r="B55" s="42" t="s">
        <v>84</v>
      </c>
      <c r="C55" s="45">
        <v>43400.3</v>
      </c>
      <c r="D55" s="45">
        <v>1520321</v>
      </c>
      <c r="E55" s="45">
        <v>97.15</v>
      </c>
      <c r="F55" s="45">
        <v>2.85</v>
      </c>
      <c r="G55" s="45">
        <v>1476920.7</v>
      </c>
      <c r="H55" s="49">
        <v>1523921</v>
      </c>
      <c r="I55" s="49">
        <f t="shared" si="0"/>
        <v>1520321</v>
      </c>
      <c r="K55" s="49">
        <f>'Fælles adm.'!K56</f>
        <v>0</v>
      </c>
      <c r="L55" s="49">
        <f>Odense!K56</f>
        <v>500000</v>
      </c>
      <c r="M55" s="49">
        <f>Laks!K56</f>
        <v>0</v>
      </c>
      <c r="N55" s="49">
        <f>Assens!K56</f>
        <v>400000</v>
      </c>
      <c r="O55" s="49">
        <f>Nyborg!K56</f>
        <v>75000</v>
      </c>
      <c r="P55" s="49">
        <f>Nordfyn!K56</f>
        <v>350000</v>
      </c>
      <c r="Q55" s="49">
        <f>Kerteminde!K56</f>
        <v>195321</v>
      </c>
      <c r="R55" s="49">
        <f>'Særlige tilskud'!K56</f>
        <v>0</v>
      </c>
    </row>
    <row r="56" spans="1:18" x14ac:dyDescent="0.25">
      <c r="A56" s="42" t="s">
        <v>85</v>
      </c>
      <c r="B56" s="42" t="s">
        <v>86</v>
      </c>
      <c r="C56" s="45">
        <v>6600</v>
      </c>
      <c r="G56" s="45">
        <v>-6600</v>
      </c>
      <c r="H56" s="49">
        <v>6850</v>
      </c>
      <c r="I56" s="49">
        <f t="shared" si="0"/>
        <v>250</v>
      </c>
      <c r="K56" s="49">
        <f>'Fælles adm.'!K57</f>
        <v>0</v>
      </c>
      <c r="L56" s="49">
        <f>Odense!K57</f>
        <v>0</v>
      </c>
      <c r="M56" s="49">
        <f>Laks!K57</f>
        <v>0</v>
      </c>
      <c r="N56" s="49">
        <f>Assens!K57</f>
        <v>0</v>
      </c>
      <c r="O56" s="49">
        <f>Nyborg!K57</f>
        <v>0</v>
      </c>
      <c r="P56" s="49">
        <f>Nordfyn!K57</f>
        <v>250</v>
      </c>
      <c r="Q56" s="49">
        <f>Kerteminde!K57</f>
        <v>0</v>
      </c>
      <c r="R56" s="49">
        <f>'Særlige tilskud'!K57</f>
        <v>0</v>
      </c>
    </row>
    <row r="57" spans="1:18" x14ac:dyDescent="0.25">
      <c r="A57" s="42" t="s">
        <v>87</v>
      </c>
      <c r="B57" s="42" t="s">
        <v>88</v>
      </c>
      <c r="C57" s="45">
        <v>9254.1</v>
      </c>
      <c r="D57" s="45">
        <v>513320</v>
      </c>
      <c r="E57" s="45">
        <v>98.2</v>
      </c>
      <c r="F57" s="45">
        <v>1.8</v>
      </c>
      <c r="G57" s="45">
        <v>504065.9</v>
      </c>
      <c r="H57" s="49">
        <v>667774.1</v>
      </c>
      <c r="I57" s="49">
        <f t="shared" si="0"/>
        <v>667774.1</v>
      </c>
      <c r="K57" s="49">
        <f>'Fælles adm.'!K58</f>
        <v>0</v>
      </c>
      <c r="L57" s="49">
        <f>Odense!K58</f>
        <v>4454.1000000000004</v>
      </c>
      <c r="M57" s="49">
        <f>Laks!K58</f>
        <v>0</v>
      </c>
      <c r="N57" s="49">
        <f>Assens!K58</f>
        <v>330000</v>
      </c>
      <c r="O57" s="49">
        <f>Nyborg!K58</f>
        <v>77000</v>
      </c>
      <c r="P57" s="49">
        <f>Nordfyn!K58</f>
        <v>177480</v>
      </c>
      <c r="Q57" s="49">
        <f>Kerteminde!K58</f>
        <v>78840</v>
      </c>
      <c r="R57" s="49">
        <f>'Særlige tilskud'!K58</f>
        <v>0</v>
      </c>
    </row>
    <row r="58" spans="1:18" x14ac:dyDescent="0.25">
      <c r="A58" s="43" t="s">
        <v>89</v>
      </c>
      <c r="B58" s="43" t="s">
        <v>17</v>
      </c>
      <c r="C58" s="46">
        <v>3310489.05</v>
      </c>
      <c r="D58" s="46">
        <v>5639295.6699999999</v>
      </c>
      <c r="E58" s="46">
        <v>41.3</v>
      </c>
      <c r="F58" s="46">
        <v>58.7</v>
      </c>
      <c r="G58" s="46">
        <v>2328806.62</v>
      </c>
      <c r="H58" s="50">
        <v>5844287.0500000007</v>
      </c>
      <c r="I58" s="50">
        <f t="shared" si="0"/>
        <v>5462043.4000000004</v>
      </c>
      <c r="K58" s="50">
        <f>'Fælles adm.'!K59</f>
        <v>0</v>
      </c>
      <c r="L58" s="50">
        <f>Odense!K59</f>
        <v>560073.6</v>
      </c>
      <c r="M58" s="50">
        <f>Laks!K59</f>
        <v>3041500</v>
      </c>
      <c r="N58" s="50">
        <f>Assens!K59</f>
        <v>753196.8</v>
      </c>
      <c r="O58" s="50">
        <f>Nyborg!K59</f>
        <v>152000</v>
      </c>
      <c r="P58" s="50">
        <f>Nordfyn!K59</f>
        <v>667612</v>
      </c>
      <c r="Q58" s="50">
        <f>Kerteminde!K59</f>
        <v>287661</v>
      </c>
      <c r="R58" s="50">
        <f>'Særlige tilskud'!K59</f>
        <v>0</v>
      </c>
    </row>
    <row r="59" spans="1:18" x14ac:dyDescent="0.25">
      <c r="A59" s="42" t="s">
        <v>12</v>
      </c>
      <c r="B59" s="42" t="s">
        <v>12</v>
      </c>
      <c r="H59" s="49"/>
      <c r="I59" s="49">
        <f t="shared" si="0"/>
        <v>0</v>
      </c>
      <c r="K59" s="49">
        <f>'Fælles adm.'!K60</f>
        <v>0</v>
      </c>
      <c r="L59" s="49">
        <f>Odense!K60</f>
        <v>0</v>
      </c>
      <c r="M59" s="49">
        <f>Laks!K60</f>
        <v>0</v>
      </c>
      <c r="N59" s="49">
        <f>Assens!K60</f>
        <v>0</v>
      </c>
      <c r="O59" s="49">
        <f>Nyborg!K60</f>
        <v>0</v>
      </c>
      <c r="P59" s="49">
        <f>Nordfyn!K60</f>
        <v>0</v>
      </c>
      <c r="Q59" s="49">
        <f>Kerteminde!K60</f>
        <v>0</v>
      </c>
      <c r="R59" s="49">
        <f>'Særlige tilskud'!K60</f>
        <v>0</v>
      </c>
    </row>
    <row r="60" spans="1:18" x14ac:dyDescent="0.25">
      <c r="A60" s="43" t="s">
        <v>90</v>
      </c>
      <c r="B60" s="43" t="s">
        <v>91</v>
      </c>
      <c r="C60" s="46"/>
      <c r="D60" s="46"/>
      <c r="E60" s="46"/>
      <c r="F60" s="46"/>
      <c r="G60" s="46"/>
      <c r="H60" s="50"/>
      <c r="I60" s="50">
        <f t="shared" si="0"/>
        <v>0</v>
      </c>
      <c r="K60" s="50">
        <f>'Fælles adm.'!K61</f>
        <v>0</v>
      </c>
      <c r="L60" s="50">
        <f>Odense!K61</f>
        <v>0</v>
      </c>
      <c r="M60" s="50">
        <f>Laks!K61</f>
        <v>0</v>
      </c>
      <c r="N60" s="50">
        <f>Assens!K61</f>
        <v>0</v>
      </c>
      <c r="O60" s="50">
        <f>Nyborg!K61</f>
        <v>0</v>
      </c>
      <c r="P60" s="50">
        <f>Nordfyn!K61</f>
        <v>0</v>
      </c>
      <c r="Q60" s="50">
        <f>Kerteminde!K61</f>
        <v>0</v>
      </c>
      <c r="R60" s="50">
        <f>'Særlige tilskud'!K61</f>
        <v>0</v>
      </c>
    </row>
    <row r="61" spans="1:18" x14ac:dyDescent="0.25">
      <c r="A61" s="42" t="s">
        <v>92</v>
      </c>
      <c r="B61" s="42" t="s">
        <v>93</v>
      </c>
      <c r="C61" s="45">
        <v>362884.2</v>
      </c>
      <c r="G61" s="45">
        <v>-362884.2</v>
      </c>
      <c r="H61" s="49">
        <v>698365.85000000009</v>
      </c>
      <c r="I61" s="49">
        <f t="shared" si="0"/>
        <v>693721.35000000009</v>
      </c>
      <c r="K61" s="49">
        <f>'Fælles adm.'!K62</f>
        <v>0</v>
      </c>
      <c r="L61" s="49">
        <f>Odense!K62</f>
        <v>469392</v>
      </c>
      <c r="M61" s="49">
        <f>Laks!K62</f>
        <v>0</v>
      </c>
      <c r="N61" s="49">
        <f>Assens!K62</f>
        <v>0</v>
      </c>
      <c r="O61" s="49">
        <f>Nyborg!K62</f>
        <v>22758.05</v>
      </c>
      <c r="P61" s="49">
        <f>Nordfyn!K62</f>
        <v>51089.5</v>
      </c>
      <c r="Q61" s="49">
        <f>Kerteminde!K62</f>
        <v>150481.79999999999</v>
      </c>
      <c r="R61" s="49">
        <f>'Særlige tilskud'!K62</f>
        <v>0</v>
      </c>
    </row>
    <row r="62" spans="1:18" x14ac:dyDescent="0.25">
      <c r="A62" s="43" t="s">
        <v>94</v>
      </c>
      <c r="B62" s="43" t="s">
        <v>95</v>
      </c>
      <c r="C62" s="46">
        <v>362884.2</v>
      </c>
      <c r="D62" s="46"/>
      <c r="E62" s="46"/>
      <c r="F62" s="46"/>
      <c r="G62" s="46">
        <v>-362884.2</v>
      </c>
      <c r="H62" s="5">
        <v>698365.85000000009</v>
      </c>
      <c r="I62" s="5">
        <f t="shared" si="0"/>
        <v>693721.35000000009</v>
      </c>
      <c r="K62" s="5">
        <f>'Fælles adm.'!K63</f>
        <v>0</v>
      </c>
      <c r="L62" s="5">
        <f>Odense!K63</f>
        <v>469392</v>
      </c>
      <c r="M62" s="5">
        <f>Laks!K63</f>
        <v>0</v>
      </c>
      <c r="N62" s="5">
        <f>Assens!K63</f>
        <v>0</v>
      </c>
      <c r="O62" s="5">
        <f>Nyborg!K63</f>
        <v>22758.05</v>
      </c>
      <c r="P62" s="5">
        <f>Nordfyn!K63</f>
        <v>51089.5</v>
      </c>
      <c r="Q62" s="5">
        <f>Kerteminde!K63</f>
        <v>150481.79999999999</v>
      </c>
      <c r="R62" s="5">
        <f>'Særlige tilskud'!K63</f>
        <v>0</v>
      </c>
    </row>
    <row r="63" spans="1:18" x14ac:dyDescent="0.25">
      <c r="A63" s="42" t="s">
        <v>12</v>
      </c>
      <c r="B63" s="42" t="s">
        <v>12</v>
      </c>
      <c r="H63" s="48"/>
      <c r="I63" s="48">
        <f t="shared" si="0"/>
        <v>0</v>
      </c>
      <c r="K63" s="48">
        <f>'Fælles adm.'!K64</f>
        <v>0</v>
      </c>
      <c r="L63" s="48">
        <f>Odense!K64</f>
        <v>0</v>
      </c>
      <c r="M63" s="48">
        <f>Laks!K64</f>
        <v>0</v>
      </c>
      <c r="N63" s="48">
        <f>Assens!K64</f>
        <v>0</v>
      </c>
      <c r="O63" s="48">
        <f>Nyborg!K64</f>
        <v>0</v>
      </c>
      <c r="P63" s="48">
        <f>Nordfyn!K64</f>
        <v>0</v>
      </c>
      <c r="Q63" s="48">
        <f>Kerteminde!K64</f>
        <v>0</v>
      </c>
      <c r="R63" s="48">
        <f>'Særlige tilskud'!K64</f>
        <v>0</v>
      </c>
    </row>
    <row r="64" spans="1:18" x14ac:dyDescent="0.25">
      <c r="A64" s="43" t="s">
        <v>96</v>
      </c>
      <c r="B64" s="43" t="s">
        <v>97</v>
      </c>
      <c r="C64" s="46">
        <v>50249834.020000003</v>
      </c>
      <c r="D64" s="46">
        <v>96587272.180000007</v>
      </c>
      <c r="E64" s="46">
        <v>47.97</v>
      </c>
      <c r="F64" s="46">
        <v>52.03</v>
      </c>
      <c r="G64" s="46">
        <v>46337438.159999996</v>
      </c>
      <c r="H64" s="5">
        <v>86063854.460000008</v>
      </c>
      <c r="I64" s="5">
        <f t="shared" si="0"/>
        <v>74876598.75</v>
      </c>
      <c r="K64" s="5">
        <f>'Fælles adm.'!K65</f>
        <v>2226850</v>
      </c>
      <c r="L64" s="5">
        <f>Odense!K65</f>
        <v>24693117.600000001</v>
      </c>
      <c r="M64" s="5">
        <f>Laks!K65</f>
        <v>3041500</v>
      </c>
      <c r="N64" s="5">
        <f>Assens!K65</f>
        <v>11031008.800000001</v>
      </c>
      <c r="O64" s="5">
        <f>Nyborg!K65</f>
        <v>11261891.050000001</v>
      </c>
      <c r="P64" s="5">
        <f>Nordfyn!K65</f>
        <v>11991720.5</v>
      </c>
      <c r="Q64" s="5">
        <f>Kerteminde!K65</f>
        <v>10630510.800000001</v>
      </c>
      <c r="R64" s="5">
        <f>'Særlige tilskud'!K65</f>
        <v>0</v>
      </c>
    </row>
    <row r="65" spans="1:18" x14ac:dyDescent="0.25">
      <c r="A65" s="42" t="s">
        <v>12</v>
      </c>
      <c r="B65" s="42" t="s">
        <v>12</v>
      </c>
      <c r="H65" s="48"/>
      <c r="I65" s="48">
        <f t="shared" si="0"/>
        <v>0</v>
      </c>
      <c r="K65" s="48">
        <f>'Fælles adm.'!K66</f>
        <v>0</v>
      </c>
      <c r="L65" s="48">
        <f>Odense!K66</f>
        <v>0</v>
      </c>
      <c r="M65" s="48">
        <f>Laks!K66</f>
        <v>0</v>
      </c>
      <c r="N65" s="48">
        <f>Assens!K66</f>
        <v>0</v>
      </c>
      <c r="O65" s="48">
        <f>Nyborg!K66</f>
        <v>0</v>
      </c>
      <c r="P65" s="48">
        <f>Nordfyn!K66</f>
        <v>0</v>
      </c>
      <c r="Q65" s="48">
        <f>Kerteminde!K66</f>
        <v>0</v>
      </c>
      <c r="R65" s="48">
        <f>'Særlige tilskud'!K66</f>
        <v>0</v>
      </c>
    </row>
    <row r="66" spans="1:18" x14ac:dyDescent="0.25">
      <c r="A66" s="43" t="s">
        <v>98</v>
      </c>
      <c r="B66" s="43" t="s">
        <v>99</v>
      </c>
      <c r="C66" s="46"/>
      <c r="D66" s="46"/>
      <c r="E66" s="46"/>
      <c r="F66" s="46"/>
      <c r="G66" s="46"/>
      <c r="H66" s="5"/>
      <c r="I66" s="5">
        <f t="shared" si="0"/>
        <v>0</v>
      </c>
      <c r="K66" s="5">
        <f>'Fælles adm.'!K67</f>
        <v>0</v>
      </c>
      <c r="L66" s="5">
        <f>Odense!K67</f>
        <v>0</v>
      </c>
      <c r="M66" s="5">
        <f>Laks!K67</f>
        <v>0</v>
      </c>
      <c r="N66" s="5">
        <f>Assens!K67</f>
        <v>0</v>
      </c>
      <c r="O66" s="5">
        <f>Nyborg!K67</f>
        <v>0</v>
      </c>
      <c r="P66" s="5">
        <f>Nordfyn!K67</f>
        <v>0</v>
      </c>
      <c r="Q66" s="5">
        <f>Kerteminde!K67</f>
        <v>0</v>
      </c>
      <c r="R66" s="5">
        <f>'Særlige tilskud'!K67</f>
        <v>0</v>
      </c>
    </row>
    <row r="67" spans="1:18" x14ac:dyDescent="0.25">
      <c r="A67" s="42" t="s">
        <v>100</v>
      </c>
      <c r="B67" s="42" t="s">
        <v>101</v>
      </c>
      <c r="H67" s="48">
        <v>0</v>
      </c>
      <c r="I67" s="48">
        <f t="shared" si="0"/>
        <v>0</v>
      </c>
      <c r="K67" s="48">
        <f>'Fælles adm.'!K68</f>
        <v>0</v>
      </c>
      <c r="L67" s="48">
        <f>Odense!K68</f>
        <v>0</v>
      </c>
      <c r="M67" s="48">
        <f>Laks!K68</f>
        <v>0</v>
      </c>
      <c r="N67" s="48">
        <f>Assens!K68</f>
        <v>0</v>
      </c>
      <c r="O67" s="48">
        <f>Nyborg!K68</f>
        <v>0</v>
      </c>
      <c r="P67" s="48">
        <f>Nordfyn!K68</f>
        <v>0</v>
      </c>
      <c r="Q67" s="48">
        <f>Kerteminde!K68</f>
        <v>0</v>
      </c>
      <c r="R67" s="48">
        <f>'Særlige tilskud'!K68</f>
        <v>0</v>
      </c>
    </row>
    <row r="68" spans="1:18" x14ac:dyDescent="0.25">
      <c r="A68" s="42" t="s">
        <v>102</v>
      </c>
      <c r="B68" s="42" t="s">
        <v>103</v>
      </c>
      <c r="H68" s="48">
        <v>0</v>
      </c>
      <c r="I68" s="48">
        <f t="shared" si="0"/>
        <v>0</v>
      </c>
      <c r="K68" s="48">
        <f>'Fælles adm.'!K69</f>
        <v>0</v>
      </c>
      <c r="L68" s="48">
        <f>Odense!K69</f>
        <v>0</v>
      </c>
      <c r="M68" s="48">
        <f>Laks!K69</f>
        <v>0</v>
      </c>
      <c r="N68" s="48">
        <f>Assens!K69</f>
        <v>0</v>
      </c>
      <c r="O68" s="48">
        <f>Nyborg!K69</f>
        <v>0</v>
      </c>
      <c r="P68" s="48">
        <f>Nordfyn!K69</f>
        <v>0</v>
      </c>
      <c r="Q68" s="48">
        <f>Kerteminde!K69</f>
        <v>0</v>
      </c>
      <c r="R68" s="48">
        <f>'Særlige tilskud'!K69</f>
        <v>0</v>
      </c>
    </row>
    <row r="69" spans="1:18" x14ac:dyDescent="0.25">
      <c r="A69" s="43" t="s">
        <v>104</v>
      </c>
      <c r="B69" s="43" t="s">
        <v>105</v>
      </c>
      <c r="C69" s="46"/>
      <c r="D69" s="46"/>
      <c r="E69" s="46"/>
      <c r="F69" s="46"/>
      <c r="G69" s="46"/>
      <c r="H69" s="5">
        <v>0</v>
      </c>
      <c r="I69" s="5">
        <f t="shared" si="0"/>
        <v>0</v>
      </c>
      <c r="K69" s="5">
        <f>'Fælles adm.'!K70</f>
        <v>0</v>
      </c>
      <c r="L69" s="5">
        <f>Odense!K70</f>
        <v>0</v>
      </c>
      <c r="M69" s="5">
        <f>Laks!K70</f>
        <v>0</v>
      </c>
      <c r="N69" s="5">
        <f>Assens!K70</f>
        <v>0</v>
      </c>
      <c r="O69" s="5">
        <f>Nyborg!K70</f>
        <v>0</v>
      </c>
      <c r="P69" s="5">
        <f>Nordfyn!K70</f>
        <v>0</v>
      </c>
      <c r="Q69" s="5">
        <f>Kerteminde!K70</f>
        <v>0</v>
      </c>
      <c r="R69" s="5">
        <f>'Særlige tilskud'!K70</f>
        <v>0</v>
      </c>
    </row>
    <row r="70" spans="1:18" x14ac:dyDescent="0.25">
      <c r="A70" s="42" t="s">
        <v>12</v>
      </c>
      <c r="B70" s="42" t="s">
        <v>12</v>
      </c>
      <c r="H70" s="48"/>
      <c r="I70" s="48">
        <f t="shared" si="0"/>
        <v>0</v>
      </c>
      <c r="K70" s="48">
        <f>'Fælles adm.'!K71</f>
        <v>0</v>
      </c>
      <c r="L70" s="48">
        <f>Odense!K71</f>
        <v>0</v>
      </c>
      <c r="M70" s="48">
        <f>Laks!K71</f>
        <v>0</v>
      </c>
      <c r="N70" s="48">
        <f>Assens!K71</f>
        <v>0</v>
      </c>
      <c r="O70" s="48">
        <f>Nyborg!K71</f>
        <v>0</v>
      </c>
      <c r="P70" s="48">
        <f>Nordfyn!K71</f>
        <v>0</v>
      </c>
      <c r="Q70" s="48">
        <f>Kerteminde!K71</f>
        <v>0</v>
      </c>
      <c r="R70" s="48">
        <f>'Særlige tilskud'!K71</f>
        <v>0</v>
      </c>
    </row>
    <row r="71" spans="1:18" x14ac:dyDescent="0.25">
      <c r="A71" s="43" t="s">
        <v>106</v>
      </c>
      <c r="B71" s="43" t="s">
        <v>107</v>
      </c>
      <c r="C71" s="46"/>
      <c r="D71" s="46"/>
      <c r="E71" s="46"/>
      <c r="F71" s="46"/>
      <c r="G71" s="46"/>
      <c r="H71" s="5"/>
      <c r="I71" s="5">
        <f t="shared" si="0"/>
        <v>0</v>
      </c>
      <c r="K71" s="5">
        <f>'Fælles adm.'!K72</f>
        <v>0</v>
      </c>
      <c r="L71" s="5">
        <f>Odense!K72</f>
        <v>0</v>
      </c>
      <c r="M71" s="5">
        <f>Laks!K72</f>
        <v>0</v>
      </c>
      <c r="N71" s="5">
        <f>Assens!K72</f>
        <v>0</v>
      </c>
      <c r="O71" s="5">
        <f>Nyborg!K72</f>
        <v>0</v>
      </c>
      <c r="P71" s="5">
        <f>Nordfyn!K72</f>
        <v>0</v>
      </c>
      <c r="Q71" s="5">
        <f>Kerteminde!K72</f>
        <v>0</v>
      </c>
      <c r="R71" s="5">
        <f>'Særlige tilskud'!K72</f>
        <v>0</v>
      </c>
    </row>
    <row r="72" spans="1:18" x14ac:dyDescent="0.25">
      <c r="A72" s="42" t="s">
        <v>108</v>
      </c>
      <c r="B72" s="42" t="s">
        <v>109</v>
      </c>
      <c r="C72" s="45">
        <v>-67991</v>
      </c>
      <c r="D72" s="45">
        <v>-518200</v>
      </c>
      <c r="E72" s="45">
        <v>86.88</v>
      </c>
      <c r="F72" s="45">
        <v>13.12</v>
      </c>
      <c r="G72" s="45">
        <v>-450209</v>
      </c>
      <c r="H72" s="48">
        <v>-140000</v>
      </c>
      <c r="I72" s="48">
        <f t="shared" si="0"/>
        <v>-140000</v>
      </c>
      <c r="K72" s="48">
        <f>'Fælles adm.'!K73</f>
        <v>0</v>
      </c>
      <c r="L72" s="48">
        <f>Odense!K73</f>
        <v>0</v>
      </c>
      <c r="M72" s="48">
        <f>Laks!K73</f>
        <v>0</v>
      </c>
      <c r="N72" s="48">
        <f>Assens!K73</f>
        <v>0</v>
      </c>
      <c r="O72" s="48">
        <f>Nyborg!K73</f>
        <v>-140000</v>
      </c>
      <c r="P72" s="48">
        <f>Nordfyn!K73</f>
        <v>0</v>
      </c>
      <c r="Q72" s="48">
        <f>Kerteminde!K73</f>
        <v>0</v>
      </c>
      <c r="R72" s="48">
        <f>'Særlige tilskud'!K73</f>
        <v>0</v>
      </c>
    </row>
    <row r="73" spans="1:18" x14ac:dyDescent="0.25">
      <c r="A73" s="42" t="s">
        <v>110</v>
      </c>
      <c r="B73" s="42" t="s">
        <v>111</v>
      </c>
      <c r="C73" s="45">
        <v>-22937.919999999998</v>
      </c>
      <c r="G73" s="45">
        <v>22937.919999999998</v>
      </c>
      <c r="H73" s="48">
        <v>-22937.919999999998</v>
      </c>
      <c r="I73" s="48">
        <f t="shared" si="0"/>
        <v>-22937.919999999998</v>
      </c>
      <c r="K73" s="48">
        <f>'Fælles adm.'!K74</f>
        <v>0</v>
      </c>
      <c r="L73" s="48">
        <f>Odense!K74</f>
        <v>-10796.67</v>
      </c>
      <c r="M73" s="48">
        <f>Laks!K74</f>
        <v>0</v>
      </c>
      <c r="N73" s="48">
        <f>Assens!K74</f>
        <v>0</v>
      </c>
      <c r="O73" s="48">
        <f>Nyborg!K74</f>
        <v>-12141.25</v>
      </c>
      <c r="P73" s="48">
        <f>Nordfyn!K74</f>
        <v>0</v>
      </c>
      <c r="Q73" s="48">
        <f>Kerteminde!K74</f>
        <v>0</v>
      </c>
      <c r="R73" s="48">
        <f>'Særlige tilskud'!K74</f>
        <v>0</v>
      </c>
    </row>
    <row r="74" spans="1:18" x14ac:dyDescent="0.25">
      <c r="A74" s="42" t="s">
        <v>112</v>
      </c>
      <c r="B74" s="42" t="s">
        <v>113</v>
      </c>
      <c r="C74" s="45">
        <v>-32724</v>
      </c>
      <c r="D74" s="45">
        <v>-37660</v>
      </c>
      <c r="E74" s="45">
        <v>13.11</v>
      </c>
      <c r="F74" s="45">
        <v>86.89</v>
      </c>
      <c r="G74" s="45">
        <v>-4936</v>
      </c>
      <c r="H74" s="48">
        <v>-51554</v>
      </c>
      <c r="I74" s="48">
        <f t="shared" si="0"/>
        <v>-51554</v>
      </c>
      <c r="K74" s="48">
        <f>'Fælles adm.'!K75</f>
        <v>0</v>
      </c>
      <c r="L74" s="48">
        <f>Odense!K75</f>
        <v>0</v>
      </c>
      <c r="M74" s="48">
        <f>Laks!K75</f>
        <v>0</v>
      </c>
      <c r="N74" s="48">
        <f>Assens!K75</f>
        <v>0</v>
      </c>
      <c r="O74" s="48">
        <f>Nyborg!K75</f>
        <v>-9713</v>
      </c>
      <c r="P74" s="48">
        <f>Nordfyn!K75</f>
        <v>-4181</v>
      </c>
      <c r="Q74" s="48">
        <f>Kerteminde!K75</f>
        <v>-37660</v>
      </c>
      <c r="R74" s="48">
        <f>'Særlige tilskud'!K75</f>
        <v>0</v>
      </c>
    </row>
    <row r="75" spans="1:18" x14ac:dyDescent="0.25">
      <c r="A75" s="42" t="s">
        <v>114</v>
      </c>
      <c r="B75" s="42" t="s">
        <v>115</v>
      </c>
      <c r="C75" s="45">
        <v>-335577.22</v>
      </c>
      <c r="D75" s="45">
        <v>-495746</v>
      </c>
      <c r="E75" s="45">
        <v>32.31</v>
      </c>
      <c r="F75" s="45">
        <v>67.69</v>
      </c>
      <c r="G75" s="45">
        <v>-160168.78</v>
      </c>
      <c r="H75" s="48">
        <v>-647773.89</v>
      </c>
      <c r="I75" s="48">
        <f t="shared" ref="I75:I138" si="1">SUM(K75:R75)</f>
        <v>-636390.05000000005</v>
      </c>
      <c r="K75" s="48">
        <f>'Fælles adm.'!K76</f>
        <v>0</v>
      </c>
      <c r="L75" s="48">
        <f>Odense!K76</f>
        <v>-2748.2</v>
      </c>
      <c r="M75" s="48">
        <f>Laks!K76</f>
        <v>-5496.4</v>
      </c>
      <c r="N75" s="48">
        <f>Assens!K76</f>
        <v>-168399.45</v>
      </c>
      <c r="O75" s="48">
        <f>Nyborg!K76</f>
        <v>-5000</v>
      </c>
      <c r="P75" s="48">
        <f>Nordfyn!K76</f>
        <v>-309146</v>
      </c>
      <c r="Q75" s="48">
        <f>Kerteminde!K76</f>
        <v>-145600</v>
      </c>
      <c r="R75" s="48">
        <f>'Særlige tilskud'!K76</f>
        <v>0</v>
      </c>
    </row>
    <row r="76" spans="1:18" x14ac:dyDescent="0.25">
      <c r="A76" s="43" t="s">
        <v>116</v>
      </c>
      <c r="B76" s="43" t="s">
        <v>117</v>
      </c>
      <c r="C76" s="46">
        <v>-459230.14</v>
      </c>
      <c r="D76" s="46">
        <v>-1051606</v>
      </c>
      <c r="E76" s="46">
        <v>56.33</v>
      </c>
      <c r="F76" s="46">
        <v>43.67</v>
      </c>
      <c r="G76" s="46">
        <v>-592375.86</v>
      </c>
      <c r="H76" s="5">
        <v>-862265.81</v>
      </c>
      <c r="I76" s="5">
        <f t="shared" si="1"/>
        <v>-850881.97</v>
      </c>
      <c r="K76" s="5">
        <f>'Fælles adm.'!K77</f>
        <v>0</v>
      </c>
      <c r="L76" s="5">
        <f>Odense!K77</f>
        <v>-13544.869999999999</v>
      </c>
      <c r="M76" s="5">
        <f>Laks!K77</f>
        <v>-5496.4</v>
      </c>
      <c r="N76" s="5">
        <f>Assens!K77</f>
        <v>-168399.45</v>
      </c>
      <c r="O76" s="5">
        <f>Nyborg!K77</f>
        <v>-166854.25</v>
      </c>
      <c r="P76" s="5">
        <f>Nordfyn!K77</f>
        <v>-313327</v>
      </c>
      <c r="Q76" s="5">
        <f>Kerteminde!K77</f>
        <v>-183260</v>
      </c>
      <c r="R76" s="5">
        <f>'Særlige tilskud'!K77</f>
        <v>0</v>
      </c>
    </row>
    <row r="77" spans="1:18" x14ac:dyDescent="0.25">
      <c r="A77" s="42" t="s">
        <v>12</v>
      </c>
      <c r="B77" s="42" t="s">
        <v>12</v>
      </c>
      <c r="H77" s="48"/>
      <c r="I77" s="48">
        <f t="shared" si="1"/>
        <v>0</v>
      </c>
      <c r="K77" s="48">
        <f>'Fælles adm.'!K78</f>
        <v>0</v>
      </c>
      <c r="L77" s="48">
        <f>Odense!K78</f>
        <v>0</v>
      </c>
      <c r="M77" s="48">
        <f>Laks!K78</f>
        <v>0</v>
      </c>
      <c r="N77" s="48">
        <f>Assens!K78</f>
        <v>0</v>
      </c>
      <c r="O77" s="48">
        <f>Nyborg!K78</f>
        <v>0</v>
      </c>
      <c r="P77" s="48">
        <f>Nordfyn!K78</f>
        <v>0</v>
      </c>
      <c r="Q77" s="48">
        <f>Kerteminde!K78</f>
        <v>0</v>
      </c>
      <c r="R77" s="48">
        <f>'Særlige tilskud'!K78</f>
        <v>0</v>
      </c>
    </row>
    <row r="78" spans="1:18" x14ac:dyDescent="0.25">
      <c r="A78" s="43" t="s">
        <v>118</v>
      </c>
      <c r="B78" s="43" t="s">
        <v>119</v>
      </c>
      <c r="C78" s="46"/>
      <c r="D78" s="46"/>
      <c r="E78" s="46"/>
      <c r="F78" s="46"/>
      <c r="G78" s="46"/>
      <c r="H78" s="5"/>
      <c r="I78" s="5">
        <f t="shared" si="1"/>
        <v>0</v>
      </c>
      <c r="K78" s="5">
        <f>'Fælles adm.'!K79</f>
        <v>0</v>
      </c>
      <c r="L78" s="5">
        <f>Odense!K79</f>
        <v>0</v>
      </c>
      <c r="M78" s="5">
        <f>Laks!K79</f>
        <v>0</v>
      </c>
      <c r="N78" s="5">
        <f>Assens!K79</f>
        <v>0</v>
      </c>
      <c r="O78" s="5">
        <f>Nyborg!K79</f>
        <v>0</v>
      </c>
      <c r="P78" s="5">
        <f>Nordfyn!K79</f>
        <v>0</v>
      </c>
      <c r="Q78" s="5">
        <f>Kerteminde!K79</f>
        <v>0</v>
      </c>
      <c r="R78" s="5">
        <f>'Særlige tilskud'!K79</f>
        <v>0</v>
      </c>
    </row>
    <row r="79" spans="1:18" x14ac:dyDescent="0.25">
      <c r="A79" s="42" t="s">
        <v>120</v>
      </c>
      <c r="B79" s="42" t="s">
        <v>121</v>
      </c>
      <c r="H79" s="48">
        <v>0</v>
      </c>
      <c r="I79" s="48">
        <f t="shared" si="1"/>
        <v>0</v>
      </c>
      <c r="K79" s="48">
        <f>'Fælles adm.'!K80</f>
        <v>0</v>
      </c>
      <c r="L79" s="48">
        <f>Odense!K80</f>
        <v>0</v>
      </c>
      <c r="M79" s="48">
        <f>Laks!K80</f>
        <v>0</v>
      </c>
      <c r="N79" s="48">
        <f>Assens!K80</f>
        <v>0</v>
      </c>
      <c r="O79" s="48">
        <f>Nyborg!K80</f>
        <v>0</v>
      </c>
      <c r="P79" s="48">
        <f>Nordfyn!K80</f>
        <v>0</v>
      </c>
      <c r="Q79" s="48">
        <f>Kerteminde!K80</f>
        <v>0</v>
      </c>
      <c r="R79" s="48">
        <f>'Særlige tilskud'!K80</f>
        <v>0</v>
      </c>
    </row>
    <row r="80" spans="1:18" x14ac:dyDescent="0.25">
      <c r="A80" s="42" t="s">
        <v>122</v>
      </c>
      <c r="B80" s="42" t="s">
        <v>123</v>
      </c>
      <c r="H80" s="48">
        <v>0</v>
      </c>
      <c r="I80" s="48">
        <f t="shared" si="1"/>
        <v>0</v>
      </c>
      <c r="K80" s="48">
        <f>'Fælles adm.'!K81</f>
        <v>0</v>
      </c>
      <c r="L80" s="48">
        <f>Odense!K81</f>
        <v>0</v>
      </c>
      <c r="M80" s="48">
        <f>Laks!K81</f>
        <v>0</v>
      </c>
      <c r="N80" s="48">
        <f>Assens!K81</f>
        <v>0</v>
      </c>
      <c r="O80" s="48">
        <f>Nyborg!K81</f>
        <v>0</v>
      </c>
      <c r="P80" s="48">
        <f>Nordfyn!K81</f>
        <v>0</v>
      </c>
      <c r="Q80" s="48">
        <f>Kerteminde!K81</f>
        <v>0</v>
      </c>
      <c r="R80" s="48">
        <f>'Særlige tilskud'!K81</f>
        <v>0</v>
      </c>
    </row>
    <row r="81" spans="1:18" x14ac:dyDescent="0.25">
      <c r="A81" s="43" t="s">
        <v>124</v>
      </c>
      <c r="B81" s="43" t="s">
        <v>125</v>
      </c>
      <c r="C81" s="46"/>
      <c r="D81" s="46"/>
      <c r="E81" s="46"/>
      <c r="F81" s="46"/>
      <c r="G81" s="46"/>
      <c r="H81" s="5">
        <v>0</v>
      </c>
      <c r="I81" s="5">
        <f t="shared" si="1"/>
        <v>0</v>
      </c>
      <c r="K81" s="5">
        <f>'Fælles adm.'!K82</f>
        <v>0</v>
      </c>
      <c r="L81" s="5">
        <f>Odense!K82</f>
        <v>0</v>
      </c>
      <c r="M81" s="5">
        <f>Laks!K82</f>
        <v>0</v>
      </c>
      <c r="N81" s="5">
        <f>Assens!K82</f>
        <v>0</v>
      </c>
      <c r="O81" s="5">
        <f>Nyborg!K82</f>
        <v>0</v>
      </c>
      <c r="P81" s="5">
        <f>Nordfyn!K82</f>
        <v>0</v>
      </c>
      <c r="Q81" s="5">
        <f>Kerteminde!K82</f>
        <v>0</v>
      </c>
      <c r="R81" s="5">
        <f>'Særlige tilskud'!K82</f>
        <v>0</v>
      </c>
    </row>
    <row r="82" spans="1:18" x14ac:dyDescent="0.25">
      <c r="A82" s="42" t="s">
        <v>12</v>
      </c>
      <c r="B82" s="42" t="s">
        <v>12</v>
      </c>
      <c r="H82" s="48"/>
      <c r="I82" s="48">
        <f t="shared" si="1"/>
        <v>0</v>
      </c>
      <c r="K82" s="48">
        <f>'Fælles adm.'!K83</f>
        <v>0</v>
      </c>
      <c r="L82" s="48">
        <f>Odense!K83</f>
        <v>0</v>
      </c>
      <c r="M82" s="48">
        <f>Laks!K83</f>
        <v>0</v>
      </c>
      <c r="N82" s="48">
        <f>Assens!K83</f>
        <v>0</v>
      </c>
      <c r="O82" s="48">
        <f>Nyborg!K83</f>
        <v>0</v>
      </c>
      <c r="P82" s="48">
        <f>Nordfyn!K83</f>
        <v>0</v>
      </c>
      <c r="Q82" s="48">
        <f>Kerteminde!K83</f>
        <v>0</v>
      </c>
      <c r="R82" s="48">
        <f>'Særlige tilskud'!K83</f>
        <v>0</v>
      </c>
    </row>
    <row r="83" spans="1:18" x14ac:dyDescent="0.25">
      <c r="A83" s="43" t="s">
        <v>126</v>
      </c>
      <c r="B83" s="43" t="s">
        <v>30</v>
      </c>
      <c r="C83" s="46"/>
      <c r="D83" s="46"/>
      <c r="E83" s="46"/>
      <c r="F83" s="46"/>
      <c r="G83" s="46"/>
      <c r="H83" s="5"/>
      <c r="I83" s="5">
        <f t="shared" si="1"/>
        <v>0</v>
      </c>
      <c r="K83" s="5">
        <f>'Fælles adm.'!K84</f>
        <v>0</v>
      </c>
      <c r="L83" s="5">
        <f>Odense!K84</f>
        <v>0</v>
      </c>
      <c r="M83" s="5">
        <f>Laks!K84</f>
        <v>0</v>
      </c>
      <c r="N83" s="5">
        <f>Assens!K84</f>
        <v>0</v>
      </c>
      <c r="O83" s="5">
        <f>Nyborg!K84</f>
        <v>0</v>
      </c>
      <c r="P83" s="5">
        <f>Nordfyn!K84</f>
        <v>0</v>
      </c>
      <c r="Q83" s="5">
        <f>Kerteminde!K84</f>
        <v>0</v>
      </c>
      <c r="R83" s="5">
        <f>'Særlige tilskud'!K84</f>
        <v>0</v>
      </c>
    </row>
    <row r="84" spans="1:18" x14ac:dyDescent="0.25">
      <c r="A84" s="42" t="s">
        <v>127</v>
      </c>
      <c r="B84" s="42" t="s">
        <v>128</v>
      </c>
      <c r="H84" s="48">
        <v>0</v>
      </c>
      <c r="I84" s="48">
        <f t="shared" si="1"/>
        <v>0</v>
      </c>
      <c r="K84" s="48">
        <f>'Fælles adm.'!K85</f>
        <v>0</v>
      </c>
      <c r="L84" s="48">
        <f>Odense!K85</f>
        <v>0</v>
      </c>
      <c r="M84" s="48">
        <f>Laks!K85</f>
        <v>0</v>
      </c>
      <c r="N84" s="48">
        <f>Assens!K85</f>
        <v>0</v>
      </c>
      <c r="O84" s="48">
        <f>Nyborg!K85</f>
        <v>0</v>
      </c>
      <c r="P84" s="48">
        <f>Nordfyn!K85</f>
        <v>0</v>
      </c>
      <c r="Q84" s="48">
        <f>Kerteminde!K85</f>
        <v>0</v>
      </c>
      <c r="R84" s="48">
        <f>'Særlige tilskud'!K85</f>
        <v>0</v>
      </c>
    </row>
    <row r="85" spans="1:18" x14ac:dyDescent="0.25">
      <c r="A85" s="42" t="s">
        <v>129</v>
      </c>
      <c r="B85" s="42" t="s">
        <v>130</v>
      </c>
      <c r="C85" s="45">
        <v>-447361.2</v>
      </c>
      <c r="D85" s="45">
        <v>-1042434.9</v>
      </c>
      <c r="E85" s="45">
        <v>57.08</v>
      </c>
      <c r="F85" s="45">
        <v>42.92</v>
      </c>
      <c r="G85" s="45">
        <v>-595073.69999999995</v>
      </c>
      <c r="H85" s="48">
        <v>-894722.4</v>
      </c>
      <c r="I85" s="48">
        <f t="shared" si="1"/>
        <v>-894722.4</v>
      </c>
      <c r="K85" s="48">
        <f>'Fælles adm.'!K86</f>
        <v>-894722.4</v>
      </c>
      <c r="L85" s="48">
        <f>Odense!K86</f>
        <v>0</v>
      </c>
      <c r="M85" s="48">
        <f>Laks!K86</f>
        <v>0</v>
      </c>
      <c r="N85" s="48">
        <f>Assens!K86</f>
        <v>0</v>
      </c>
      <c r="O85" s="48">
        <f>Nyborg!K86</f>
        <v>0</v>
      </c>
      <c r="P85" s="48">
        <f>Nordfyn!K86</f>
        <v>0</v>
      </c>
      <c r="Q85" s="48">
        <f>Kerteminde!K86</f>
        <v>0</v>
      </c>
      <c r="R85" s="48">
        <f>'Særlige tilskud'!K86</f>
        <v>0</v>
      </c>
    </row>
    <row r="86" spans="1:18" x14ac:dyDescent="0.25">
      <c r="A86" s="42" t="s">
        <v>131</v>
      </c>
      <c r="B86" s="42" t="s">
        <v>132</v>
      </c>
      <c r="H86" s="48">
        <v>0</v>
      </c>
      <c r="I86" s="48">
        <f t="shared" si="1"/>
        <v>0</v>
      </c>
      <c r="K86" s="48">
        <f>'Fælles adm.'!K87</f>
        <v>0</v>
      </c>
      <c r="L86" s="48">
        <f>Odense!K87</f>
        <v>0</v>
      </c>
      <c r="M86" s="48">
        <f>Laks!K87</f>
        <v>0</v>
      </c>
      <c r="N86" s="48">
        <f>Assens!K87</f>
        <v>0</v>
      </c>
      <c r="O86" s="48">
        <f>Nyborg!K87</f>
        <v>0</v>
      </c>
      <c r="P86" s="48">
        <f>Nordfyn!K87</f>
        <v>0</v>
      </c>
      <c r="Q86" s="48">
        <f>Kerteminde!K87</f>
        <v>0</v>
      </c>
      <c r="R86" s="48">
        <f>'Særlige tilskud'!K87</f>
        <v>0</v>
      </c>
    </row>
    <row r="87" spans="1:18" x14ac:dyDescent="0.25">
      <c r="A87" s="42" t="s">
        <v>133</v>
      </c>
      <c r="B87" s="42" t="s">
        <v>134</v>
      </c>
      <c r="C87" s="45">
        <v>-25043.32</v>
      </c>
      <c r="G87" s="45">
        <v>25043.32</v>
      </c>
      <c r="H87" s="48">
        <v>-25043.32</v>
      </c>
      <c r="I87" s="48">
        <f t="shared" si="1"/>
        <v>0</v>
      </c>
      <c r="K87" s="48">
        <f>'Fælles adm.'!K88</f>
        <v>0</v>
      </c>
      <c r="L87" s="48">
        <f>Odense!K88</f>
        <v>0</v>
      </c>
      <c r="M87" s="48">
        <f>Laks!K88</f>
        <v>0</v>
      </c>
      <c r="N87" s="48">
        <f>Assens!K88</f>
        <v>0</v>
      </c>
      <c r="O87" s="48">
        <f>Nyborg!K88</f>
        <v>0</v>
      </c>
      <c r="P87" s="48">
        <f>Nordfyn!K88</f>
        <v>0</v>
      </c>
      <c r="Q87" s="48">
        <f>Kerteminde!K88</f>
        <v>0</v>
      </c>
      <c r="R87" s="48">
        <f>'Særlige tilskud'!K88</f>
        <v>0</v>
      </c>
    </row>
    <row r="88" spans="1:18" x14ac:dyDescent="0.25">
      <c r="A88" s="42" t="s">
        <v>135</v>
      </c>
      <c r="B88" s="42" t="s">
        <v>136</v>
      </c>
      <c r="C88" s="45">
        <v>25043.32</v>
      </c>
      <c r="G88" s="45">
        <v>-25043.32</v>
      </c>
      <c r="H88" s="48">
        <v>25043.32</v>
      </c>
      <c r="I88" s="48">
        <f t="shared" si="1"/>
        <v>0</v>
      </c>
      <c r="K88" s="48">
        <f>'Fælles adm.'!K89</f>
        <v>0</v>
      </c>
      <c r="L88" s="48">
        <f>Odense!K89</f>
        <v>0</v>
      </c>
      <c r="M88" s="48">
        <f>Laks!K89</f>
        <v>0</v>
      </c>
      <c r="N88" s="48">
        <f>Assens!K89</f>
        <v>0</v>
      </c>
      <c r="O88" s="48">
        <f>Nyborg!K89</f>
        <v>0</v>
      </c>
      <c r="P88" s="48">
        <f>Nordfyn!K89</f>
        <v>0</v>
      </c>
      <c r="Q88" s="48">
        <f>Kerteminde!K89</f>
        <v>0</v>
      </c>
      <c r="R88" s="48">
        <f>'Særlige tilskud'!K89</f>
        <v>0</v>
      </c>
    </row>
    <row r="89" spans="1:18" x14ac:dyDescent="0.25">
      <c r="A89" s="42" t="s">
        <v>137</v>
      </c>
      <c r="B89" s="42" t="s">
        <v>138</v>
      </c>
      <c r="C89" s="45">
        <v>-32752461.84</v>
      </c>
      <c r="D89" s="45">
        <v>-58924213.310000002</v>
      </c>
      <c r="E89" s="45">
        <v>44.42</v>
      </c>
      <c r="F89" s="45">
        <v>55.58</v>
      </c>
      <c r="G89" s="45">
        <v>-26171751.469999999</v>
      </c>
      <c r="H89" s="48">
        <v>-56845269.530000001</v>
      </c>
      <c r="I89" s="48">
        <f t="shared" si="1"/>
        <v>-44596373.5</v>
      </c>
      <c r="K89" s="48">
        <f>'Fælles adm.'!K90</f>
        <v>-5256125.7</v>
      </c>
      <c r="L89" s="48">
        <f>Odense!K90</f>
        <v>-14161667.699999999</v>
      </c>
      <c r="M89" s="48">
        <f>Laks!K90</f>
        <v>-1371367</v>
      </c>
      <c r="N89" s="48">
        <f>Assens!K90</f>
        <v>-5124316.82</v>
      </c>
      <c r="O89" s="48">
        <f>Nyborg!K90</f>
        <v>-6343411.3499999996</v>
      </c>
      <c r="P89" s="48">
        <f>Nordfyn!K90</f>
        <v>-5788020.5099999998</v>
      </c>
      <c r="Q89" s="48">
        <f>Kerteminde!K90</f>
        <v>-6551464.4199999999</v>
      </c>
      <c r="R89" s="48">
        <f>'Særlige tilskud'!K90</f>
        <v>0</v>
      </c>
    </row>
    <row r="90" spans="1:18" x14ac:dyDescent="0.25">
      <c r="A90" s="42" t="s">
        <v>139</v>
      </c>
      <c r="B90" s="42" t="s">
        <v>140</v>
      </c>
      <c r="H90" s="48">
        <v>0</v>
      </c>
      <c r="I90" s="48">
        <f t="shared" si="1"/>
        <v>0</v>
      </c>
      <c r="K90" s="48">
        <f>'Fælles adm.'!K91</f>
        <v>0</v>
      </c>
      <c r="L90" s="48">
        <f>Odense!K91</f>
        <v>0</v>
      </c>
      <c r="M90" s="48">
        <f>Laks!K91</f>
        <v>0</v>
      </c>
      <c r="N90" s="48">
        <f>Assens!K91</f>
        <v>0</v>
      </c>
      <c r="O90" s="48">
        <f>Nyborg!K91</f>
        <v>0</v>
      </c>
      <c r="P90" s="48">
        <f>Nordfyn!K91</f>
        <v>0</v>
      </c>
      <c r="Q90" s="48">
        <f>Kerteminde!K91</f>
        <v>0</v>
      </c>
      <c r="R90" s="48">
        <f>'Særlige tilskud'!K91</f>
        <v>0</v>
      </c>
    </row>
    <row r="91" spans="1:18" x14ac:dyDescent="0.25">
      <c r="A91" s="42" t="s">
        <v>141</v>
      </c>
      <c r="B91" s="42" t="s">
        <v>142</v>
      </c>
      <c r="H91" s="48">
        <v>0</v>
      </c>
      <c r="I91" s="48">
        <f t="shared" si="1"/>
        <v>0</v>
      </c>
      <c r="K91" s="48">
        <f>'Fælles adm.'!K92</f>
        <v>0</v>
      </c>
      <c r="L91" s="48">
        <f>Odense!K92</f>
        <v>0</v>
      </c>
      <c r="M91" s="48">
        <f>Laks!K92</f>
        <v>0</v>
      </c>
      <c r="N91" s="48">
        <f>Assens!K92</f>
        <v>0</v>
      </c>
      <c r="O91" s="48">
        <f>Nyborg!K92</f>
        <v>0</v>
      </c>
      <c r="P91" s="48">
        <f>Nordfyn!K92</f>
        <v>0</v>
      </c>
      <c r="Q91" s="48">
        <f>Kerteminde!K92</f>
        <v>0</v>
      </c>
      <c r="R91" s="48">
        <f>'Særlige tilskud'!K92</f>
        <v>0</v>
      </c>
    </row>
    <row r="92" spans="1:18" x14ac:dyDescent="0.25">
      <c r="A92" s="42" t="s">
        <v>143</v>
      </c>
      <c r="B92" s="42" t="s">
        <v>144</v>
      </c>
      <c r="H92" s="48">
        <v>0</v>
      </c>
      <c r="I92" s="48">
        <f t="shared" si="1"/>
        <v>0</v>
      </c>
      <c r="K92" s="48">
        <f>'Fælles adm.'!K93</f>
        <v>0</v>
      </c>
      <c r="L92" s="48">
        <f>Odense!K93</f>
        <v>0</v>
      </c>
      <c r="M92" s="48">
        <f>Laks!K93</f>
        <v>0</v>
      </c>
      <c r="N92" s="48">
        <f>Assens!K93</f>
        <v>0</v>
      </c>
      <c r="O92" s="48">
        <f>Nyborg!K93</f>
        <v>0</v>
      </c>
      <c r="P92" s="48">
        <f>Nordfyn!K93</f>
        <v>0</v>
      </c>
      <c r="Q92" s="48">
        <f>Kerteminde!K93</f>
        <v>0</v>
      </c>
      <c r="R92" s="48">
        <f>'Særlige tilskud'!K93</f>
        <v>0</v>
      </c>
    </row>
    <row r="93" spans="1:18" x14ac:dyDescent="0.25">
      <c r="A93" s="42" t="s">
        <v>145</v>
      </c>
      <c r="B93" s="42" t="s">
        <v>146</v>
      </c>
      <c r="C93" s="45">
        <v>448.84</v>
      </c>
      <c r="G93" s="45">
        <v>-448.84</v>
      </c>
      <c r="H93" s="48">
        <v>-219551.15999999997</v>
      </c>
      <c r="I93" s="48">
        <f t="shared" si="1"/>
        <v>0</v>
      </c>
      <c r="K93" s="48">
        <f>'Fælles adm.'!K94</f>
        <v>0</v>
      </c>
      <c r="L93" s="48">
        <f>Odense!K94</f>
        <v>0</v>
      </c>
      <c r="M93" s="48">
        <f>Laks!K94</f>
        <v>0</v>
      </c>
      <c r="N93" s="48">
        <f>Assens!K94</f>
        <v>0</v>
      </c>
      <c r="O93" s="48">
        <f>Nyborg!K94</f>
        <v>0</v>
      </c>
      <c r="P93" s="48">
        <f>Nordfyn!K94</f>
        <v>0</v>
      </c>
      <c r="Q93" s="48">
        <f>Kerteminde!K94</f>
        <v>0</v>
      </c>
      <c r="R93" s="48">
        <f>'Særlige tilskud'!K94</f>
        <v>0</v>
      </c>
    </row>
    <row r="94" spans="1:18" x14ac:dyDescent="0.25">
      <c r="A94" s="42" t="s">
        <v>147</v>
      </c>
      <c r="B94" s="42" t="s">
        <v>148</v>
      </c>
      <c r="C94" s="45">
        <v>-154694.1</v>
      </c>
      <c r="G94" s="45">
        <v>154694.1</v>
      </c>
      <c r="H94" s="48">
        <v>-154694.1</v>
      </c>
      <c r="I94" s="48">
        <f t="shared" si="1"/>
        <v>0</v>
      </c>
      <c r="K94" s="48">
        <f>'Fælles adm.'!K95</f>
        <v>0</v>
      </c>
      <c r="L94" s="48">
        <f>Odense!K95</f>
        <v>0</v>
      </c>
      <c r="M94" s="48">
        <f>Laks!K95</f>
        <v>0</v>
      </c>
      <c r="N94" s="48">
        <f>Assens!K95</f>
        <v>0</v>
      </c>
      <c r="O94" s="48">
        <f>Nyborg!K95</f>
        <v>0</v>
      </c>
      <c r="P94" s="48">
        <f>Nordfyn!K95</f>
        <v>0</v>
      </c>
      <c r="Q94" s="48">
        <f>Kerteminde!K95</f>
        <v>0</v>
      </c>
      <c r="R94" s="48">
        <f>'Særlige tilskud'!K95</f>
        <v>0</v>
      </c>
    </row>
    <row r="95" spans="1:18" x14ac:dyDescent="0.25">
      <c r="A95" s="42" t="s">
        <v>149</v>
      </c>
      <c r="B95" s="42" t="s">
        <v>150</v>
      </c>
      <c r="H95" s="48">
        <v>0</v>
      </c>
      <c r="I95" s="48">
        <f t="shared" si="1"/>
        <v>0</v>
      </c>
      <c r="K95" s="48">
        <f>'Fælles adm.'!K96</f>
        <v>0</v>
      </c>
      <c r="L95" s="48">
        <f>Odense!K96</f>
        <v>0</v>
      </c>
      <c r="M95" s="48">
        <f>Laks!K96</f>
        <v>0</v>
      </c>
      <c r="N95" s="48">
        <f>Assens!K96</f>
        <v>0</v>
      </c>
      <c r="O95" s="48">
        <f>Nyborg!K96</f>
        <v>0</v>
      </c>
      <c r="P95" s="48">
        <f>Nordfyn!K96</f>
        <v>0</v>
      </c>
      <c r="Q95" s="48">
        <f>Kerteminde!K96</f>
        <v>0</v>
      </c>
      <c r="R95" s="48">
        <f>'Særlige tilskud'!K96</f>
        <v>0</v>
      </c>
    </row>
    <row r="96" spans="1:18" x14ac:dyDescent="0.25">
      <c r="A96" s="42" t="s">
        <v>151</v>
      </c>
      <c r="B96" s="42" t="s">
        <v>152</v>
      </c>
      <c r="H96" s="48">
        <v>0</v>
      </c>
      <c r="I96" s="48">
        <f t="shared" si="1"/>
        <v>0</v>
      </c>
      <c r="K96" s="48">
        <f>'Fælles adm.'!K97</f>
        <v>0</v>
      </c>
      <c r="L96" s="48">
        <f>Odense!K97</f>
        <v>0</v>
      </c>
      <c r="M96" s="48">
        <f>Laks!K97</f>
        <v>0</v>
      </c>
      <c r="N96" s="48">
        <f>Assens!K97</f>
        <v>0</v>
      </c>
      <c r="O96" s="48">
        <f>Nyborg!K97</f>
        <v>0</v>
      </c>
      <c r="P96" s="48">
        <f>Nordfyn!K97</f>
        <v>0</v>
      </c>
      <c r="Q96" s="48">
        <f>Kerteminde!K97</f>
        <v>0</v>
      </c>
      <c r="R96" s="48">
        <f>'Særlige tilskud'!K97</f>
        <v>0</v>
      </c>
    </row>
    <row r="97" spans="1:18" x14ac:dyDescent="0.25">
      <c r="A97" s="42" t="s">
        <v>153</v>
      </c>
      <c r="B97" s="42" t="s">
        <v>154</v>
      </c>
      <c r="H97" s="48">
        <v>0</v>
      </c>
      <c r="I97" s="48">
        <f t="shared" si="1"/>
        <v>0</v>
      </c>
      <c r="K97" s="48">
        <f>'Fælles adm.'!K98</f>
        <v>0</v>
      </c>
      <c r="L97" s="48">
        <f>Odense!K98</f>
        <v>0</v>
      </c>
      <c r="M97" s="48">
        <f>Laks!K98</f>
        <v>0</v>
      </c>
      <c r="N97" s="48">
        <f>Assens!K98</f>
        <v>0</v>
      </c>
      <c r="O97" s="48">
        <f>Nyborg!K98</f>
        <v>0</v>
      </c>
      <c r="P97" s="48">
        <f>Nordfyn!K98</f>
        <v>0</v>
      </c>
      <c r="Q97" s="48">
        <f>Kerteminde!K98</f>
        <v>0</v>
      </c>
      <c r="R97" s="48">
        <f>'Særlige tilskud'!K98</f>
        <v>0</v>
      </c>
    </row>
    <row r="98" spans="1:18" x14ac:dyDescent="0.25">
      <c r="A98" s="42" t="s">
        <v>155</v>
      </c>
      <c r="B98" s="42" t="s">
        <v>156</v>
      </c>
      <c r="H98" s="48">
        <v>0</v>
      </c>
      <c r="I98" s="48">
        <f t="shared" si="1"/>
        <v>0</v>
      </c>
      <c r="K98" s="48">
        <f>'Fælles adm.'!K99</f>
        <v>0</v>
      </c>
      <c r="L98" s="48">
        <f>Odense!K99</f>
        <v>0</v>
      </c>
      <c r="M98" s="48">
        <f>Laks!K99</f>
        <v>0</v>
      </c>
      <c r="N98" s="48">
        <f>Assens!K99</f>
        <v>0</v>
      </c>
      <c r="O98" s="48">
        <f>Nyborg!K99</f>
        <v>0</v>
      </c>
      <c r="P98" s="48">
        <f>Nordfyn!K99</f>
        <v>0</v>
      </c>
      <c r="Q98" s="48">
        <f>Kerteminde!K99</f>
        <v>0</v>
      </c>
      <c r="R98" s="48">
        <f>'Særlige tilskud'!K99</f>
        <v>0</v>
      </c>
    </row>
    <row r="99" spans="1:18" x14ac:dyDescent="0.25">
      <c r="A99" s="42" t="s">
        <v>157</v>
      </c>
      <c r="B99" s="42" t="s">
        <v>158</v>
      </c>
      <c r="H99" s="48">
        <v>0</v>
      </c>
      <c r="I99" s="48">
        <f t="shared" si="1"/>
        <v>0</v>
      </c>
      <c r="K99" s="48">
        <f>'Fælles adm.'!K100</f>
        <v>0</v>
      </c>
      <c r="L99" s="48">
        <f>Odense!K100</f>
        <v>0</v>
      </c>
      <c r="M99" s="48">
        <f>Laks!K100</f>
        <v>0</v>
      </c>
      <c r="N99" s="48">
        <f>Assens!K100</f>
        <v>0</v>
      </c>
      <c r="O99" s="48">
        <f>Nyborg!K100</f>
        <v>0</v>
      </c>
      <c r="P99" s="48">
        <f>Nordfyn!K100</f>
        <v>0</v>
      </c>
      <c r="Q99" s="48">
        <f>Kerteminde!K100</f>
        <v>0</v>
      </c>
      <c r="R99" s="48">
        <f>'Særlige tilskud'!K100</f>
        <v>0</v>
      </c>
    </row>
    <row r="100" spans="1:18" x14ac:dyDescent="0.25">
      <c r="A100" s="42" t="s">
        <v>159</v>
      </c>
      <c r="B100" s="42" t="s">
        <v>160</v>
      </c>
      <c r="H100" s="48">
        <v>0</v>
      </c>
      <c r="I100" s="48">
        <f t="shared" si="1"/>
        <v>0</v>
      </c>
      <c r="K100" s="48">
        <f>'Fælles adm.'!K101</f>
        <v>0</v>
      </c>
      <c r="L100" s="48">
        <f>Odense!K101</f>
        <v>0</v>
      </c>
      <c r="M100" s="48">
        <f>Laks!K101</f>
        <v>0</v>
      </c>
      <c r="N100" s="48">
        <f>Assens!K101</f>
        <v>0</v>
      </c>
      <c r="O100" s="48">
        <f>Nyborg!K101</f>
        <v>0</v>
      </c>
      <c r="P100" s="48">
        <f>Nordfyn!K101</f>
        <v>0</v>
      </c>
      <c r="Q100" s="48">
        <f>Kerteminde!K101</f>
        <v>0</v>
      </c>
      <c r="R100" s="48">
        <f>'Særlige tilskud'!K101</f>
        <v>0</v>
      </c>
    </row>
    <row r="101" spans="1:18" x14ac:dyDescent="0.25">
      <c r="A101" s="42" t="s">
        <v>161</v>
      </c>
      <c r="B101" s="42" t="s">
        <v>162</v>
      </c>
      <c r="H101" s="48">
        <v>0</v>
      </c>
      <c r="I101" s="48">
        <f t="shared" si="1"/>
        <v>0</v>
      </c>
      <c r="K101" s="48">
        <f>'Fælles adm.'!K102</f>
        <v>0</v>
      </c>
      <c r="L101" s="48">
        <f>Odense!K102</f>
        <v>0</v>
      </c>
      <c r="M101" s="48">
        <f>Laks!K102</f>
        <v>0</v>
      </c>
      <c r="N101" s="48">
        <f>Assens!K102</f>
        <v>0</v>
      </c>
      <c r="O101" s="48">
        <f>Nyborg!K102</f>
        <v>0</v>
      </c>
      <c r="P101" s="48">
        <f>Nordfyn!K102</f>
        <v>0</v>
      </c>
      <c r="Q101" s="48">
        <f>Kerteminde!K102</f>
        <v>0</v>
      </c>
      <c r="R101" s="48">
        <f>'Særlige tilskud'!K102</f>
        <v>0</v>
      </c>
    </row>
    <row r="102" spans="1:18" x14ac:dyDescent="0.25">
      <c r="A102" s="42" t="s">
        <v>163</v>
      </c>
      <c r="B102" s="42" t="s">
        <v>164</v>
      </c>
      <c r="C102" s="45">
        <v>-71400</v>
      </c>
      <c r="D102" s="45">
        <v>-26873.33</v>
      </c>
      <c r="E102" s="45">
        <v>-165.69</v>
      </c>
      <c r="F102" s="45">
        <v>265.69</v>
      </c>
      <c r="G102" s="45">
        <v>44526.67</v>
      </c>
      <c r="H102" s="48">
        <v>-142800</v>
      </c>
      <c r="I102" s="48">
        <f t="shared" si="1"/>
        <v>0</v>
      </c>
      <c r="K102" s="48">
        <f>'Fælles adm.'!K103</f>
        <v>0</v>
      </c>
      <c r="L102" s="48">
        <f>Odense!K103</f>
        <v>0</v>
      </c>
      <c r="M102" s="48">
        <f>Laks!K103</f>
        <v>0</v>
      </c>
      <c r="N102" s="48">
        <f>Assens!K103</f>
        <v>0</v>
      </c>
      <c r="O102" s="48">
        <f>Nyborg!K103</f>
        <v>0</v>
      </c>
      <c r="P102" s="48">
        <f>Nordfyn!K103</f>
        <v>0</v>
      </c>
      <c r="Q102" s="48">
        <f>Kerteminde!K103</f>
        <v>0</v>
      </c>
      <c r="R102" s="48">
        <f>'Særlige tilskud'!K103</f>
        <v>0</v>
      </c>
    </row>
    <row r="103" spans="1:18" x14ac:dyDescent="0.25">
      <c r="A103" s="42" t="s">
        <v>165</v>
      </c>
      <c r="B103" s="42" t="s">
        <v>166</v>
      </c>
      <c r="H103" s="48">
        <v>0</v>
      </c>
      <c r="I103" s="48">
        <f t="shared" si="1"/>
        <v>0</v>
      </c>
      <c r="K103" s="48">
        <f>'Fælles adm.'!K104</f>
        <v>0</v>
      </c>
      <c r="L103" s="48">
        <f>Odense!K104</f>
        <v>0</v>
      </c>
      <c r="M103" s="48">
        <f>Laks!K104</f>
        <v>0</v>
      </c>
      <c r="N103" s="48">
        <f>Assens!K104</f>
        <v>0</v>
      </c>
      <c r="O103" s="48">
        <f>Nyborg!K104</f>
        <v>0</v>
      </c>
      <c r="P103" s="48">
        <f>Nordfyn!K104</f>
        <v>0</v>
      </c>
      <c r="Q103" s="48">
        <f>Kerteminde!K104</f>
        <v>0</v>
      </c>
      <c r="R103" s="48">
        <f>'Særlige tilskud'!K104</f>
        <v>0</v>
      </c>
    </row>
    <row r="104" spans="1:18" x14ac:dyDescent="0.25">
      <c r="A104" s="42" t="s">
        <v>167</v>
      </c>
      <c r="B104" s="42" t="s">
        <v>168</v>
      </c>
      <c r="H104" s="48">
        <v>0</v>
      </c>
      <c r="I104" s="48">
        <f t="shared" si="1"/>
        <v>0</v>
      </c>
      <c r="K104" s="48">
        <f>'Fælles adm.'!K105</f>
        <v>0</v>
      </c>
      <c r="L104" s="48">
        <f>Odense!K105</f>
        <v>0</v>
      </c>
      <c r="M104" s="48">
        <f>Laks!K105</f>
        <v>0</v>
      </c>
      <c r="N104" s="48">
        <f>Assens!K105</f>
        <v>0</v>
      </c>
      <c r="O104" s="48">
        <f>Nyborg!K105</f>
        <v>0</v>
      </c>
      <c r="P104" s="48">
        <f>Nordfyn!K105</f>
        <v>0</v>
      </c>
      <c r="Q104" s="48">
        <f>Kerteminde!K105</f>
        <v>0</v>
      </c>
      <c r="R104" s="48">
        <f>'Særlige tilskud'!K105</f>
        <v>0</v>
      </c>
    </row>
    <row r="105" spans="1:18" x14ac:dyDescent="0.25">
      <c r="A105" s="42" t="s">
        <v>169</v>
      </c>
      <c r="B105" s="42" t="s">
        <v>170</v>
      </c>
      <c r="C105" s="45">
        <v>802300.14</v>
      </c>
      <c r="G105" s="45">
        <v>-802300.14</v>
      </c>
      <c r="H105" s="48">
        <v>802300.14</v>
      </c>
      <c r="I105" s="48">
        <f t="shared" si="1"/>
        <v>0</v>
      </c>
      <c r="K105" s="48">
        <f>'Fælles adm.'!K106</f>
        <v>0</v>
      </c>
      <c r="L105" s="48">
        <f>Odense!K106</f>
        <v>0</v>
      </c>
      <c r="M105" s="48">
        <f>Laks!K106</f>
        <v>0</v>
      </c>
      <c r="N105" s="48">
        <f>Assens!K106</f>
        <v>0</v>
      </c>
      <c r="O105" s="48">
        <f>Nyborg!K106</f>
        <v>0</v>
      </c>
      <c r="P105" s="48">
        <f>Nordfyn!K106</f>
        <v>0</v>
      </c>
      <c r="Q105" s="48">
        <f>Kerteminde!K106</f>
        <v>0</v>
      </c>
      <c r="R105" s="48">
        <f>'Særlige tilskud'!K106</f>
        <v>0</v>
      </c>
    </row>
    <row r="106" spans="1:18" x14ac:dyDescent="0.25">
      <c r="A106" s="43" t="s">
        <v>171</v>
      </c>
      <c r="B106" s="43" t="s">
        <v>172</v>
      </c>
      <c r="C106" s="46">
        <v>-32623168.16</v>
      </c>
      <c r="D106" s="46">
        <v>-59993521.539999999</v>
      </c>
      <c r="E106" s="46">
        <v>45.62</v>
      </c>
      <c r="F106" s="46">
        <v>54.38</v>
      </c>
      <c r="G106" s="46">
        <v>-27370353.379999999</v>
      </c>
      <c r="H106" s="5">
        <v>-57454737.050000004</v>
      </c>
      <c r="I106" s="5">
        <f t="shared" si="1"/>
        <v>-45491095.899999999</v>
      </c>
      <c r="K106" s="5">
        <f>'Fælles adm.'!K107</f>
        <v>-6150848.1000000006</v>
      </c>
      <c r="L106" s="5">
        <f>Odense!K107</f>
        <v>-14161667.699999999</v>
      </c>
      <c r="M106" s="5">
        <f>Laks!K107</f>
        <v>-1371367</v>
      </c>
      <c r="N106" s="5">
        <f>Assens!K107</f>
        <v>-5124316.82</v>
      </c>
      <c r="O106" s="5">
        <f>Nyborg!K107</f>
        <v>-6343411.3499999996</v>
      </c>
      <c r="P106" s="5">
        <f>Nordfyn!K107</f>
        <v>-5788020.5099999998</v>
      </c>
      <c r="Q106" s="5">
        <f>Kerteminde!K107</f>
        <v>-6551464.4199999999</v>
      </c>
      <c r="R106" s="5">
        <f>'Særlige tilskud'!K107</f>
        <v>0</v>
      </c>
    </row>
    <row r="107" spans="1:18" x14ac:dyDescent="0.25">
      <c r="A107" s="42" t="s">
        <v>12</v>
      </c>
      <c r="B107" s="42" t="s">
        <v>12</v>
      </c>
      <c r="H107" s="48"/>
      <c r="I107" s="48">
        <f t="shared" si="1"/>
        <v>0</v>
      </c>
      <c r="K107" s="48">
        <f>'Fælles adm.'!K108</f>
        <v>0</v>
      </c>
      <c r="L107" s="48">
        <f>Odense!K108</f>
        <v>0</v>
      </c>
      <c r="M107" s="48">
        <f>Laks!K108</f>
        <v>0</v>
      </c>
      <c r="N107" s="48">
        <f>Assens!K108</f>
        <v>0</v>
      </c>
      <c r="O107" s="48">
        <f>Nyborg!K108</f>
        <v>0</v>
      </c>
      <c r="P107" s="48">
        <f>Nordfyn!K108</f>
        <v>0</v>
      </c>
      <c r="Q107" s="48">
        <f>Kerteminde!K108</f>
        <v>0</v>
      </c>
      <c r="R107" s="48">
        <f>'Særlige tilskud'!K108</f>
        <v>0</v>
      </c>
    </row>
    <row r="108" spans="1:18" x14ac:dyDescent="0.25">
      <c r="A108" s="43" t="s">
        <v>173</v>
      </c>
      <c r="B108" s="43" t="s">
        <v>174</v>
      </c>
      <c r="C108" s="46"/>
      <c r="D108" s="46"/>
      <c r="E108" s="46"/>
      <c r="F108" s="46"/>
      <c r="G108" s="46"/>
      <c r="H108" s="5"/>
      <c r="I108" s="5">
        <f t="shared" si="1"/>
        <v>0</v>
      </c>
      <c r="K108" s="5">
        <f>'Fælles adm.'!K109</f>
        <v>0</v>
      </c>
      <c r="L108" s="5">
        <f>Odense!K109</f>
        <v>0</v>
      </c>
      <c r="M108" s="5">
        <f>Laks!K109</f>
        <v>0</v>
      </c>
      <c r="N108" s="5">
        <f>Assens!K109</f>
        <v>0</v>
      </c>
      <c r="O108" s="5">
        <f>Nyborg!K109</f>
        <v>0</v>
      </c>
      <c r="P108" s="5">
        <f>Nordfyn!K109</f>
        <v>0</v>
      </c>
      <c r="Q108" s="5">
        <f>Kerteminde!K109</f>
        <v>0</v>
      </c>
      <c r="R108" s="5">
        <f>'Særlige tilskud'!K109</f>
        <v>0</v>
      </c>
    </row>
    <row r="109" spans="1:18" x14ac:dyDescent="0.25">
      <c r="A109" s="42" t="s">
        <v>175</v>
      </c>
      <c r="B109" s="42" t="s">
        <v>174</v>
      </c>
      <c r="C109" s="45">
        <v>-5419886.8300000001</v>
      </c>
      <c r="D109" s="45">
        <v>-11851711.15</v>
      </c>
      <c r="E109" s="45">
        <v>54.27</v>
      </c>
      <c r="F109" s="45">
        <v>45.73</v>
      </c>
      <c r="G109" s="45">
        <v>-6431824.3200000003</v>
      </c>
      <c r="H109" s="48">
        <v>-11743873.509999998</v>
      </c>
      <c r="I109" s="48">
        <f t="shared" si="1"/>
        <v>-5564464.6900000004</v>
      </c>
      <c r="K109" s="48">
        <f>'Fælles adm.'!K110</f>
        <v>-1099528.1100000001</v>
      </c>
      <c r="L109" s="48">
        <f>Odense!K110</f>
        <v>-2457425.5</v>
      </c>
      <c r="M109" s="48">
        <f>Laks!K110</f>
        <v>-233132.39</v>
      </c>
      <c r="N109" s="48">
        <f>Assens!K110</f>
        <v>-870939.31</v>
      </c>
      <c r="O109" s="48">
        <f>Nyborg!K110</f>
        <v>-1095809.1499999999</v>
      </c>
      <c r="P109" s="48">
        <f>Nordfyn!K110</f>
        <v>-972088.93</v>
      </c>
      <c r="Q109" s="48">
        <f>Kerteminde!K110</f>
        <v>1164458.7</v>
      </c>
      <c r="R109" s="48">
        <f>'Særlige tilskud'!K110</f>
        <v>0</v>
      </c>
    </row>
    <row r="110" spans="1:18" x14ac:dyDescent="0.25">
      <c r="A110" s="42" t="s">
        <v>176</v>
      </c>
      <c r="B110" s="42" t="s">
        <v>177</v>
      </c>
      <c r="H110" s="48">
        <v>0</v>
      </c>
      <c r="I110" s="48">
        <f t="shared" si="1"/>
        <v>0</v>
      </c>
      <c r="K110" s="48">
        <f>'Fælles adm.'!K111</f>
        <v>0</v>
      </c>
      <c r="L110" s="48">
        <f>Odense!K111</f>
        <v>0</v>
      </c>
      <c r="M110" s="48">
        <f>Laks!K111</f>
        <v>0</v>
      </c>
      <c r="N110" s="48">
        <f>Assens!K111</f>
        <v>0</v>
      </c>
      <c r="O110" s="48">
        <f>Nyborg!K111</f>
        <v>0</v>
      </c>
      <c r="P110" s="48">
        <f>Nordfyn!K111</f>
        <v>0</v>
      </c>
      <c r="Q110" s="48">
        <f>Kerteminde!K111</f>
        <v>0</v>
      </c>
      <c r="R110" s="48">
        <f>'Særlige tilskud'!K111</f>
        <v>0</v>
      </c>
    </row>
    <row r="111" spans="1:18" x14ac:dyDescent="0.25">
      <c r="A111" s="43" t="s">
        <v>178</v>
      </c>
      <c r="B111" s="43" t="s">
        <v>179</v>
      </c>
      <c r="C111" s="46">
        <v>-5419886.8300000001</v>
      </c>
      <c r="D111" s="46">
        <v>-11851711.15</v>
      </c>
      <c r="E111" s="46">
        <v>54.27</v>
      </c>
      <c r="F111" s="46">
        <v>45.73</v>
      </c>
      <c r="G111" s="46">
        <v>-6431824.3200000003</v>
      </c>
      <c r="H111" s="5">
        <v>-11743873.509999998</v>
      </c>
      <c r="I111" s="5">
        <f t="shared" si="1"/>
        <v>-5564464.6900000004</v>
      </c>
      <c r="K111" s="5">
        <f>'Fælles adm.'!K112</f>
        <v>-1099528.1100000001</v>
      </c>
      <c r="L111" s="5">
        <f>Odense!K112</f>
        <v>-2457425.5</v>
      </c>
      <c r="M111" s="5">
        <f>Laks!K112</f>
        <v>-233132.39</v>
      </c>
      <c r="N111" s="5">
        <f>Assens!K112</f>
        <v>-870939.31</v>
      </c>
      <c r="O111" s="5">
        <f>Nyborg!K112</f>
        <v>-1095809.1499999999</v>
      </c>
      <c r="P111" s="5">
        <f>Nordfyn!K112</f>
        <v>-972088.93</v>
      </c>
      <c r="Q111" s="5">
        <f>Kerteminde!K112</f>
        <v>1164458.7</v>
      </c>
      <c r="R111" s="5">
        <f>'Særlige tilskud'!K112</f>
        <v>0</v>
      </c>
    </row>
    <row r="112" spans="1:18" x14ac:dyDescent="0.25">
      <c r="A112" s="42" t="s">
        <v>12</v>
      </c>
      <c r="B112" s="42" t="s">
        <v>12</v>
      </c>
      <c r="H112" s="48"/>
      <c r="I112" s="48">
        <f t="shared" si="1"/>
        <v>0</v>
      </c>
      <c r="K112" s="48">
        <f>'Fælles adm.'!K113</f>
        <v>0</v>
      </c>
      <c r="L112" s="48">
        <f>Odense!K113</f>
        <v>0</v>
      </c>
      <c r="M112" s="48">
        <f>Laks!K113</f>
        <v>0</v>
      </c>
      <c r="N112" s="48">
        <f>Assens!K113</f>
        <v>0</v>
      </c>
      <c r="O112" s="48">
        <f>Nyborg!K113</f>
        <v>0</v>
      </c>
      <c r="P112" s="48">
        <f>Nordfyn!K113</f>
        <v>0</v>
      </c>
      <c r="Q112" s="48">
        <f>Kerteminde!K113</f>
        <v>0</v>
      </c>
      <c r="R112" s="48">
        <f>'Særlige tilskud'!K113</f>
        <v>0</v>
      </c>
    </row>
    <row r="113" spans="1:18" x14ac:dyDescent="0.25">
      <c r="A113" s="43" t="s">
        <v>180</v>
      </c>
      <c r="B113" s="43" t="s">
        <v>181</v>
      </c>
      <c r="C113" s="46"/>
      <c r="D113" s="46"/>
      <c r="E113" s="46"/>
      <c r="F113" s="46"/>
      <c r="G113" s="46"/>
      <c r="H113" s="5"/>
      <c r="I113" s="5">
        <f t="shared" si="1"/>
        <v>0</v>
      </c>
      <c r="K113" s="5">
        <f>'Fælles adm.'!K114</f>
        <v>0</v>
      </c>
      <c r="L113" s="5">
        <f>Odense!K114</f>
        <v>0</v>
      </c>
      <c r="M113" s="5">
        <f>Laks!K114</f>
        <v>0</v>
      </c>
      <c r="N113" s="5">
        <f>Assens!K114</f>
        <v>0</v>
      </c>
      <c r="O113" s="5">
        <f>Nyborg!K114</f>
        <v>0</v>
      </c>
      <c r="P113" s="5">
        <f>Nordfyn!K114</f>
        <v>0</v>
      </c>
      <c r="Q113" s="5">
        <f>Kerteminde!K114</f>
        <v>0</v>
      </c>
      <c r="R113" s="5">
        <f>'Særlige tilskud'!K114</f>
        <v>0</v>
      </c>
    </row>
    <row r="114" spans="1:18" x14ac:dyDescent="0.25">
      <c r="A114" s="42" t="s">
        <v>182</v>
      </c>
      <c r="B114" s="42" t="s">
        <v>183</v>
      </c>
      <c r="C114" s="45">
        <v>3633580.92</v>
      </c>
      <c r="D114" s="45">
        <v>5075121</v>
      </c>
      <c r="E114" s="45">
        <v>28.4</v>
      </c>
      <c r="F114" s="45">
        <v>71.599999999999994</v>
      </c>
      <c r="G114" s="45">
        <v>1441540.08</v>
      </c>
      <c r="H114" s="48">
        <v>7267161.8399999999</v>
      </c>
      <c r="I114" s="48">
        <f t="shared" si="1"/>
        <v>7267161.8399999999</v>
      </c>
      <c r="K114" s="48">
        <f>'Fælles adm.'!K115</f>
        <v>2793160.82</v>
      </c>
      <c r="L114" s="48">
        <f>Odense!K115</f>
        <v>2483935.6</v>
      </c>
      <c r="M114" s="48">
        <f>Laks!K115</f>
        <v>0</v>
      </c>
      <c r="N114" s="48">
        <f>Assens!K115</f>
        <v>906081.68</v>
      </c>
      <c r="O114" s="48">
        <f>Nyborg!K115</f>
        <v>183570.26</v>
      </c>
      <c r="P114" s="48">
        <f>Nordfyn!K115</f>
        <v>301472.32</v>
      </c>
      <c r="Q114" s="48">
        <f>Kerteminde!K115</f>
        <v>598941.16</v>
      </c>
      <c r="R114" s="48">
        <f>'Særlige tilskud'!K115</f>
        <v>0</v>
      </c>
    </row>
    <row r="115" spans="1:18" x14ac:dyDescent="0.25">
      <c r="A115" s="42" t="s">
        <v>184</v>
      </c>
      <c r="B115" s="42" t="s">
        <v>185</v>
      </c>
      <c r="C115" s="45">
        <v>1000952.81</v>
      </c>
      <c r="G115" s="45">
        <v>-1000952.81</v>
      </c>
      <c r="H115" s="48">
        <v>1000952.81</v>
      </c>
      <c r="I115" s="48">
        <f t="shared" si="1"/>
        <v>1000952.81</v>
      </c>
      <c r="K115" s="48">
        <f>'Fælles adm.'!K116</f>
        <v>277906</v>
      </c>
      <c r="L115" s="48">
        <f>Odense!K116</f>
        <v>227770</v>
      </c>
      <c r="M115" s="48">
        <f>Laks!K116</f>
        <v>0</v>
      </c>
      <c r="N115" s="48">
        <f>Assens!K116</f>
        <v>52438</v>
      </c>
      <c r="O115" s="48">
        <f>Nyborg!K116</f>
        <v>153686</v>
      </c>
      <c r="P115" s="48">
        <f>Nordfyn!K116</f>
        <v>59872</v>
      </c>
      <c r="Q115" s="48">
        <f>Kerteminde!K116</f>
        <v>229280.81</v>
      </c>
      <c r="R115" s="48">
        <f>'Særlige tilskud'!K116</f>
        <v>0</v>
      </c>
    </row>
    <row r="116" spans="1:18" x14ac:dyDescent="0.25">
      <c r="A116" s="42" t="s">
        <v>186</v>
      </c>
      <c r="B116" s="42" t="s">
        <v>187</v>
      </c>
      <c r="H116" s="48">
        <v>0</v>
      </c>
      <c r="I116" s="48">
        <f t="shared" si="1"/>
        <v>0</v>
      </c>
      <c r="K116" s="48">
        <f>'Fælles adm.'!K117</f>
        <v>0</v>
      </c>
      <c r="L116" s="48">
        <f>Odense!K117</f>
        <v>0</v>
      </c>
      <c r="M116" s="48">
        <f>Laks!K117</f>
        <v>0</v>
      </c>
      <c r="N116" s="48">
        <f>Assens!K117</f>
        <v>0</v>
      </c>
      <c r="O116" s="48">
        <f>Nyborg!K117</f>
        <v>0</v>
      </c>
      <c r="P116" s="48">
        <f>Nordfyn!K117</f>
        <v>0</v>
      </c>
      <c r="Q116" s="48">
        <f>Kerteminde!K117</f>
        <v>0</v>
      </c>
      <c r="R116" s="48">
        <f>'Særlige tilskud'!K117</f>
        <v>0</v>
      </c>
    </row>
    <row r="117" spans="1:18" x14ac:dyDescent="0.25">
      <c r="A117" s="42" t="s">
        <v>188</v>
      </c>
      <c r="B117" s="42" t="s">
        <v>189</v>
      </c>
      <c r="C117" s="45">
        <v>130088.37</v>
      </c>
      <c r="G117" s="45">
        <v>-130088.37</v>
      </c>
      <c r="H117" s="48">
        <v>130088.37</v>
      </c>
      <c r="I117" s="48">
        <f t="shared" si="1"/>
        <v>130088.37</v>
      </c>
      <c r="K117" s="48">
        <f>'Fælles adm.'!K118</f>
        <v>5705.86</v>
      </c>
      <c r="L117" s="48">
        <f>Odense!K118</f>
        <v>26946.71</v>
      </c>
      <c r="M117" s="48">
        <f>Laks!K118</f>
        <v>0</v>
      </c>
      <c r="N117" s="48">
        <f>Assens!K118</f>
        <v>0</v>
      </c>
      <c r="O117" s="48">
        <f>Nyborg!K118</f>
        <v>0</v>
      </c>
      <c r="P117" s="48">
        <f>Nordfyn!K118</f>
        <v>0</v>
      </c>
      <c r="Q117" s="48">
        <f>Kerteminde!K118</f>
        <v>97435.8</v>
      </c>
      <c r="R117" s="48">
        <f>'Særlige tilskud'!K118</f>
        <v>0</v>
      </c>
    </row>
    <row r="118" spans="1:18" x14ac:dyDescent="0.25">
      <c r="A118" s="42" t="s">
        <v>190</v>
      </c>
      <c r="B118" s="42" t="s">
        <v>191</v>
      </c>
      <c r="H118" s="48">
        <v>0</v>
      </c>
      <c r="I118" s="48">
        <f t="shared" si="1"/>
        <v>0</v>
      </c>
      <c r="K118" s="48">
        <f>'Fælles adm.'!K119</f>
        <v>0</v>
      </c>
      <c r="L118" s="48">
        <f>Odense!K119</f>
        <v>0</v>
      </c>
      <c r="M118" s="48">
        <f>Laks!K119</f>
        <v>0</v>
      </c>
      <c r="N118" s="48">
        <f>Assens!K119</f>
        <v>0</v>
      </c>
      <c r="O118" s="48">
        <f>Nyborg!K119</f>
        <v>0</v>
      </c>
      <c r="P118" s="48">
        <f>Nordfyn!K119</f>
        <v>0</v>
      </c>
      <c r="Q118" s="48">
        <f>Kerteminde!K119</f>
        <v>0</v>
      </c>
      <c r="R118" s="48">
        <f>'Særlige tilskud'!K119</f>
        <v>0</v>
      </c>
    </row>
    <row r="119" spans="1:18" x14ac:dyDescent="0.25">
      <c r="A119" s="42" t="s">
        <v>192</v>
      </c>
      <c r="B119" s="42" t="s">
        <v>193</v>
      </c>
      <c r="C119" s="45">
        <v>93154.92</v>
      </c>
      <c r="G119" s="45">
        <v>-93154.92</v>
      </c>
      <c r="H119" s="48">
        <v>93154.92</v>
      </c>
      <c r="I119" s="48">
        <f t="shared" si="1"/>
        <v>93154.92</v>
      </c>
      <c r="K119" s="48">
        <f>'Fælles adm.'!K120</f>
        <v>93154.92</v>
      </c>
      <c r="L119" s="48">
        <f>Odense!K120</f>
        <v>0</v>
      </c>
      <c r="M119" s="48">
        <f>Laks!K120</f>
        <v>0</v>
      </c>
      <c r="N119" s="48">
        <f>Assens!K120</f>
        <v>0</v>
      </c>
      <c r="O119" s="48">
        <f>Nyborg!K120</f>
        <v>0</v>
      </c>
      <c r="P119" s="48">
        <f>Nordfyn!K120</f>
        <v>0</v>
      </c>
      <c r="Q119" s="48">
        <f>Kerteminde!K120</f>
        <v>0</v>
      </c>
      <c r="R119" s="48">
        <f>'Særlige tilskud'!K120</f>
        <v>0</v>
      </c>
    </row>
    <row r="120" spans="1:18" x14ac:dyDescent="0.25">
      <c r="A120" s="42" t="s">
        <v>194</v>
      </c>
      <c r="B120" s="42" t="s">
        <v>195</v>
      </c>
      <c r="C120" s="45">
        <v>121482.11</v>
      </c>
      <c r="G120" s="45">
        <v>-121482.11</v>
      </c>
      <c r="H120" s="48">
        <v>121482.11</v>
      </c>
      <c r="I120" s="48">
        <f t="shared" si="1"/>
        <v>121482.11</v>
      </c>
      <c r="K120" s="48">
        <f>'Fælles adm.'!K121</f>
        <v>0</v>
      </c>
      <c r="L120" s="48">
        <f>Odense!K121</f>
        <v>121482.11</v>
      </c>
      <c r="M120" s="48">
        <f>Laks!K121</f>
        <v>0</v>
      </c>
      <c r="N120" s="48">
        <f>Assens!K121</f>
        <v>0</v>
      </c>
      <c r="O120" s="48">
        <f>Nyborg!K121</f>
        <v>0</v>
      </c>
      <c r="P120" s="48">
        <f>Nordfyn!K121</f>
        <v>0</v>
      </c>
      <c r="Q120" s="48">
        <f>Kerteminde!K121</f>
        <v>0</v>
      </c>
      <c r="R120" s="48">
        <f>'Særlige tilskud'!K121</f>
        <v>0</v>
      </c>
    </row>
    <row r="121" spans="1:18" x14ac:dyDescent="0.25">
      <c r="A121" s="43" t="s">
        <v>196</v>
      </c>
      <c r="B121" s="43" t="s">
        <v>197</v>
      </c>
      <c r="C121" s="46">
        <v>4979259.13</v>
      </c>
      <c r="D121" s="46">
        <v>5075121</v>
      </c>
      <c r="E121" s="46">
        <v>1.89</v>
      </c>
      <c r="F121" s="46">
        <v>98.11</v>
      </c>
      <c r="G121" s="46">
        <v>95861.87</v>
      </c>
      <c r="H121" s="5">
        <v>8612840.0499999989</v>
      </c>
      <c r="I121" s="5">
        <f t="shared" si="1"/>
        <v>8612840.0499999989</v>
      </c>
      <c r="K121" s="5">
        <f>'Fælles adm.'!K122</f>
        <v>3169927.5999999996</v>
      </c>
      <c r="L121" s="5">
        <f>Odense!K122</f>
        <v>2860134.42</v>
      </c>
      <c r="M121" s="5">
        <f>Laks!K122</f>
        <v>0</v>
      </c>
      <c r="N121" s="5">
        <f>Assens!K122</f>
        <v>958519.68</v>
      </c>
      <c r="O121" s="5">
        <f>Nyborg!K122</f>
        <v>337256.26</v>
      </c>
      <c r="P121" s="5">
        <f>Nordfyn!K122</f>
        <v>361344.32</v>
      </c>
      <c r="Q121" s="5">
        <f>Kerteminde!K122</f>
        <v>925657.77</v>
      </c>
      <c r="R121" s="5">
        <f>'Særlige tilskud'!K122</f>
        <v>0</v>
      </c>
    </row>
    <row r="122" spans="1:18" x14ac:dyDescent="0.25">
      <c r="A122" s="43" t="s">
        <v>198</v>
      </c>
      <c r="B122" s="43" t="s">
        <v>199</v>
      </c>
      <c r="C122" s="46">
        <v>-33063795.859999999</v>
      </c>
      <c r="D122" s="46">
        <v>-66770111.689999998</v>
      </c>
      <c r="E122" s="46">
        <v>50.48</v>
      </c>
      <c r="F122" s="46">
        <v>49.52</v>
      </c>
      <c r="G122" s="46">
        <v>-33706315.829999998</v>
      </c>
      <c r="H122" s="5">
        <v>-60585770.510000005</v>
      </c>
      <c r="I122" s="5">
        <f t="shared" si="1"/>
        <v>-42442720.539999999</v>
      </c>
      <c r="K122" s="5">
        <f>'Fælles adm.'!K123</f>
        <v>-4080448.6100000013</v>
      </c>
      <c r="L122" s="5">
        <f>Odense!K123</f>
        <v>-13758958.779999999</v>
      </c>
      <c r="M122" s="5">
        <f>Laks!K123</f>
        <v>-1604499.3900000001</v>
      </c>
      <c r="N122" s="5">
        <f>Assens!K123</f>
        <v>-5036736.45</v>
      </c>
      <c r="O122" s="5">
        <f>Nyborg!K123</f>
        <v>-7101964.2399999993</v>
      </c>
      <c r="P122" s="5">
        <f>Nordfyn!K123</f>
        <v>-6398765.1200000001</v>
      </c>
      <c r="Q122" s="5">
        <f>Kerteminde!K123</f>
        <v>-4461347.95</v>
      </c>
      <c r="R122" s="5">
        <f>'Særlige tilskud'!K123</f>
        <v>0</v>
      </c>
    </row>
    <row r="123" spans="1:18" x14ac:dyDescent="0.25">
      <c r="A123" s="42" t="s">
        <v>12</v>
      </c>
      <c r="B123" s="42" t="s">
        <v>12</v>
      </c>
      <c r="H123" s="48"/>
      <c r="I123" s="48">
        <f t="shared" si="1"/>
        <v>0</v>
      </c>
      <c r="K123" s="48">
        <f>'Fælles adm.'!K124</f>
        <v>0</v>
      </c>
      <c r="L123" s="48">
        <f>Odense!K124</f>
        <v>0</v>
      </c>
      <c r="M123" s="48">
        <f>Laks!K124</f>
        <v>0</v>
      </c>
      <c r="N123" s="48">
        <f>Assens!K124</f>
        <v>0</v>
      </c>
      <c r="O123" s="48">
        <f>Nyborg!K124</f>
        <v>0</v>
      </c>
      <c r="P123" s="48">
        <f>Nordfyn!K124</f>
        <v>0</v>
      </c>
      <c r="Q123" s="48">
        <f>Kerteminde!K124</f>
        <v>0</v>
      </c>
      <c r="R123" s="48">
        <f>'Særlige tilskud'!K124</f>
        <v>0</v>
      </c>
    </row>
    <row r="124" spans="1:18" x14ac:dyDescent="0.25">
      <c r="A124" s="43" t="s">
        <v>200</v>
      </c>
      <c r="B124" s="43" t="s">
        <v>201</v>
      </c>
      <c r="C124" s="46">
        <v>-33523026</v>
      </c>
      <c r="D124" s="46">
        <v>-67821717.689999998</v>
      </c>
      <c r="E124" s="46">
        <v>50.57</v>
      </c>
      <c r="F124" s="46">
        <v>49.43</v>
      </c>
      <c r="G124" s="46">
        <v>-34298691.689999998</v>
      </c>
      <c r="H124" s="5">
        <v>-61448036.320000008</v>
      </c>
      <c r="I124" s="5">
        <f t="shared" si="1"/>
        <v>-43293602.509999998</v>
      </c>
      <c r="K124" s="5">
        <f>'Fælles adm.'!K125</f>
        <v>-4080448.6100000013</v>
      </c>
      <c r="L124" s="5">
        <f>Odense!K125</f>
        <v>-13772503.649999999</v>
      </c>
      <c r="M124" s="5">
        <f>Laks!K125</f>
        <v>-1609995.79</v>
      </c>
      <c r="N124" s="5">
        <f>Assens!K125</f>
        <v>-5205135.9000000004</v>
      </c>
      <c r="O124" s="5">
        <f>Nyborg!K125</f>
        <v>-7268818.4899999993</v>
      </c>
      <c r="P124" s="5">
        <f>Nordfyn!K125</f>
        <v>-6712092.1200000001</v>
      </c>
      <c r="Q124" s="5">
        <f>Kerteminde!K125</f>
        <v>-4644607.95</v>
      </c>
      <c r="R124" s="5">
        <f>'Særlige tilskud'!K125</f>
        <v>0</v>
      </c>
    </row>
    <row r="125" spans="1:18" x14ac:dyDescent="0.25">
      <c r="A125" s="42" t="s">
        <v>12</v>
      </c>
      <c r="B125" s="42" t="s">
        <v>12</v>
      </c>
      <c r="H125" s="48"/>
      <c r="I125" s="48">
        <f t="shared" si="1"/>
        <v>0</v>
      </c>
      <c r="K125" s="48">
        <f>'Fælles adm.'!K126</f>
        <v>0</v>
      </c>
      <c r="L125" s="48">
        <f>Odense!K126</f>
        <v>0</v>
      </c>
      <c r="M125" s="48">
        <f>Laks!K126</f>
        <v>0</v>
      </c>
      <c r="N125" s="48">
        <f>Assens!K126</f>
        <v>0</v>
      </c>
      <c r="O125" s="48">
        <f>Nyborg!K126</f>
        <v>0</v>
      </c>
      <c r="P125" s="48">
        <f>Nordfyn!K126</f>
        <v>0</v>
      </c>
      <c r="Q125" s="48">
        <f>Kerteminde!K126</f>
        <v>0</v>
      </c>
      <c r="R125" s="48">
        <f>'Særlige tilskud'!K126</f>
        <v>0</v>
      </c>
    </row>
    <row r="126" spans="1:18" x14ac:dyDescent="0.25">
      <c r="A126" s="43" t="s">
        <v>202</v>
      </c>
      <c r="B126" s="43" t="s">
        <v>203</v>
      </c>
      <c r="C126" s="46">
        <v>16726808.02</v>
      </c>
      <c r="D126" s="46">
        <v>28765554.489999998</v>
      </c>
      <c r="E126" s="46">
        <v>41.85</v>
      </c>
      <c r="F126" s="46">
        <v>58.15</v>
      </c>
      <c r="G126" s="46">
        <v>12038746.470000001</v>
      </c>
      <c r="H126" s="5">
        <v>24615818.139999993</v>
      </c>
      <c r="I126" s="5">
        <f t="shared" si="1"/>
        <v>31582996.240000002</v>
      </c>
      <c r="K126" s="5">
        <f>'Fælles adm.'!K127</f>
        <v>-1853598.6100000013</v>
      </c>
      <c r="L126" s="5">
        <f>Odense!K127</f>
        <v>10920613.950000003</v>
      </c>
      <c r="M126" s="5">
        <f>Laks!K127</f>
        <v>1431504.21</v>
      </c>
      <c r="N126" s="5">
        <f>Assens!K127</f>
        <v>5825872.9000000004</v>
      </c>
      <c r="O126" s="5">
        <f>Nyborg!K127</f>
        <v>3993072.5600000015</v>
      </c>
      <c r="P126" s="5">
        <f>Nordfyn!K127</f>
        <v>5279628.38</v>
      </c>
      <c r="Q126" s="5">
        <f>Kerteminde!K127</f>
        <v>5985902.8500000006</v>
      </c>
      <c r="R126" s="5">
        <f>'Særlige tilskud'!K127</f>
        <v>0</v>
      </c>
    </row>
    <row r="127" spans="1:18" x14ac:dyDescent="0.25">
      <c r="A127" s="42" t="s">
        <v>12</v>
      </c>
      <c r="B127" s="42" t="s">
        <v>12</v>
      </c>
      <c r="H127" s="48"/>
      <c r="I127" s="48">
        <f t="shared" si="1"/>
        <v>0</v>
      </c>
      <c r="K127" s="48">
        <f>'Fælles adm.'!K128</f>
        <v>0</v>
      </c>
      <c r="L127" s="48">
        <f>Odense!K128</f>
        <v>0</v>
      </c>
      <c r="M127" s="48">
        <f>Laks!K128</f>
        <v>0</v>
      </c>
      <c r="N127" s="48">
        <f>Assens!K128</f>
        <v>0</v>
      </c>
      <c r="O127" s="48">
        <f>Nyborg!K128</f>
        <v>0</v>
      </c>
      <c r="P127" s="48">
        <f>Nordfyn!K128</f>
        <v>0</v>
      </c>
      <c r="Q127" s="48">
        <f>Kerteminde!K128</f>
        <v>0</v>
      </c>
      <c r="R127" s="48">
        <f>'Særlige tilskud'!K128</f>
        <v>0</v>
      </c>
    </row>
    <row r="128" spans="1:18" x14ac:dyDescent="0.25">
      <c r="A128" s="43" t="s">
        <v>204</v>
      </c>
      <c r="B128" s="43" t="s">
        <v>205</v>
      </c>
      <c r="C128" s="46"/>
      <c r="D128" s="46"/>
      <c r="E128" s="46"/>
      <c r="F128" s="46"/>
      <c r="G128" s="46"/>
      <c r="H128" s="5"/>
      <c r="I128" s="5">
        <f t="shared" si="1"/>
        <v>0</v>
      </c>
      <c r="K128" s="5">
        <f>'Fælles adm.'!K129</f>
        <v>0</v>
      </c>
      <c r="L128" s="5">
        <f>Odense!K129</f>
        <v>0</v>
      </c>
      <c r="M128" s="5">
        <f>Laks!K129</f>
        <v>0</v>
      </c>
      <c r="N128" s="5">
        <f>Assens!K129</f>
        <v>0</v>
      </c>
      <c r="O128" s="5">
        <f>Nyborg!K129</f>
        <v>0</v>
      </c>
      <c r="P128" s="5">
        <f>Nordfyn!K129</f>
        <v>0</v>
      </c>
      <c r="Q128" s="5">
        <f>Kerteminde!K129</f>
        <v>0</v>
      </c>
      <c r="R128" s="5">
        <f>'Særlige tilskud'!K129</f>
        <v>0</v>
      </c>
    </row>
    <row r="129" spans="1:18" x14ac:dyDescent="0.25">
      <c r="A129" s="42" t="s">
        <v>206</v>
      </c>
      <c r="B129" s="42" t="s">
        <v>207</v>
      </c>
      <c r="C129" s="45">
        <v>67544.899999999994</v>
      </c>
      <c r="D129" s="45">
        <v>580143.63</v>
      </c>
      <c r="E129" s="45">
        <v>88.36</v>
      </c>
      <c r="F129" s="45">
        <v>11.64</v>
      </c>
      <c r="G129" s="45">
        <v>512598.73</v>
      </c>
      <c r="H129" s="48">
        <v>580143.63</v>
      </c>
      <c r="I129" s="48">
        <f t="shared" si="1"/>
        <v>580143.63</v>
      </c>
      <c r="K129" s="48">
        <f>'Fælles adm.'!K130</f>
        <v>42259.63</v>
      </c>
      <c r="L129" s="48">
        <f>Odense!K130</f>
        <v>165880</v>
      </c>
      <c r="M129" s="48">
        <f>Laks!K130</f>
        <v>0</v>
      </c>
      <c r="N129" s="48">
        <f>Assens!K130</f>
        <v>116100</v>
      </c>
      <c r="O129" s="48">
        <f>Nyborg!K130</f>
        <v>50000</v>
      </c>
      <c r="P129" s="48">
        <f>Nordfyn!K130</f>
        <v>103200</v>
      </c>
      <c r="Q129" s="48">
        <f>Kerteminde!K130</f>
        <v>102704</v>
      </c>
      <c r="R129" s="48">
        <f>'Særlige tilskud'!K130</f>
        <v>0</v>
      </c>
    </row>
    <row r="130" spans="1:18" x14ac:dyDescent="0.25">
      <c r="A130" s="42" t="s">
        <v>208</v>
      </c>
      <c r="B130" s="42" t="s">
        <v>209</v>
      </c>
      <c r="C130" s="45">
        <v>1103518.27</v>
      </c>
      <c r="D130" s="45">
        <v>83204.73</v>
      </c>
      <c r="E130" s="45">
        <v>-1226.27</v>
      </c>
      <c r="F130" s="45">
        <v>1326.27</v>
      </c>
      <c r="G130" s="45">
        <v>-1020313.54</v>
      </c>
      <c r="H130" s="48">
        <v>1103518.2700000005</v>
      </c>
      <c r="I130" s="48">
        <f t="shared" si="1"/>
        <v>0</v>
      </c>
      <c r="K130" s="48">
        <f>'Fælles adm.'!K131</f>
        <v>0</v>
      </c>
      <c r="L130" s="48">
        <f>Odense!K131</f>
        <v>0</v>
      </c>
      <c r="M130" s="48">
        <f>Laks!K131</f>
        <v>0</v>
      </c>
      <c r="N130" s="48">
        <f>Assens!K131</f>
        <v>0</v>
      </c>
      <c r="O130" s="48">
        <f>Nyborg!K131</f>
        <v>0</v>
      </c>
      <c r="P130" s="48">
        <f>Nordfyn!K131</f>
        <v>0</v>
      </c>
      <c r="Q130" s="48">
        <f>Kerteminde!K131</f>
        <v>0</v>
      </c>
      <c r="R130" s="48">
        <f>'Særlige tilskud'!K131</f>
        <v>0</v>
      </c>
    </row>
    <row r="131" spans="1:18" x14ac:dyDescent="0.25">
      <c r="A131" s="42" t="s">
        <v>210</v>
      </c>
      <c r="B131" s="42" t="s">
        <v>211</v>
      </c>
      <c r="D131" s="45">
        <v>150000</v>
      </c>
      <c r="E131" s="45">
        <v>100</v>
      </c>
      <c r="G131" s="45">
        <v>150000</v>
      </c>
      <c r="H131" s="48">
        <v>0</v>
      </c>
      <c r="I131" s="48">
        <f t="shared" si="1"/>
        <v>0</v>
      </c>
      <c r="K131" s="48">
        <f>'Fælles adm.'!K132</f>
        <v>0</v>
      </c>
      <c r="L131" s="48">
        <f>Odense!K132</f>
        <v>0</v>
      </c>
      <c r="M131" s="48">
        <f>Laks!K132</f>
        <v>0</v>
      </c>
      <c r="N131" s="48">
        <f>Assens!K132</f>
        <v>0</v>
      </c>
      <c r="O131" s="48">
        <f>Nyborg!K132</f>
        <v>0</v>
      </c>
      <c r="P131" s="48">
        <f>Nordfyn!K132</f>
        <v>0</v>
      </c>
      <c r="Q131" s="48">
        <f>Kerteminde!K132</f>
        <v>0</v>
      </c>
      <c r="R131" s="48">
        <f>'Særlige tilskud'!K132</f>
        <v>0</v>
      </c>
    </row>
    <row r="132" spans="1:18" x14ac:dyDescent="0.25">
      <c r="A132" s="42" t="s">
        <v>212</v>
      </c>
      <c r="B132" s="42" t="s">
        <v>213</v>
      </c>
      <c r="H132" s="48">
        <v>0</v>
      </c>
      <c r="I132" s="48">
        <f t="shared" si="1"/>
        <v>0</v>
      </c>
      <c r="K132" s="48">
        <f>'Fælles adm.'!K133</f>
        <v>0</v>
      </c>
      <c r="L132" s="48">
        <f>Odense!K133</f>
        <v>0</v>
      </c>
      <c r="M132" s="48">
        <f>Laks!K133</f>
        <v>0</v>
      </c>
      <c r="N132" s="48">
        <f>Assens!K133</f>
        <v>0</v>
      </c>
      <c r="O132" s="48">
        <f>Nyborg!K133</f>
        <v>0</v>
      </c>
      <c r="P132" s="48">
        <f>Nordfyn!K133</f>
        <v>0</v>
      </c>
      <c r="Q132" s="48">
        <f>Kerteminde!K133</f>
        <v>0</v>
      </c>
      <c r="R132" s="48">
        <f>'Særlige tilskud'!K133</f>
        <v>0</v>
      </c>
    </row>
    <row r="133" spans="1:18" x14ac:dyDescent="0.25">
      <c r="A133" s="42" t="s">
        <v>214</v>
      </c>
      <c r="B133" s="42" t="s">
        <v>215</v>
      </c>
      <c r="H133" s="48">
        <v>0</v>
      </c>
      <c r="I133" s="48">
        <f t="shared" si="1"/>
        <v>0</v>
      </c>
      <c r="K133" s="48">
        <f>'Fælles adm.'!K134</f>
        <v>0</v>
      </c>
      <c r="L133" s="48">
        <f>Odense!K134</f>
        <v>0</v>
      </c>
      <c r="M133" s="48">
        <f>Laks!K134</f>
        <v>0</v>
      </c>
      <c r="N133" s="48">
        <f>Assens!K134</f>
        <v>0</v>
      </c>
      <c r="O133" s="48">
        <f>Nyborg!K134</f>
        <v>0</v>
      </c>
      <c r="P133" s="48">
        <f>Nordfyn!K134</f>
        <v>0</v>
      </c>
      <c r="Q133" s="48">
        <f>Kerteminde!K134</f>
        <v>0</v>
      </c>
      <c r="R133" s="48">
        <f>'Særlige tilskud'!K134</f>
        <v>0</v>
      </c>
    </row>
    <row r="134" spans="1:18" x14ac:dyDescent="0.25">
      <c r="A134" s="42" t="s">
        <v>216</v>
      </c>
      <c r="B134" s="42" t="s">
        <v>217</v>
      </c>
      <c r="C134" s="45">
        <v>15000</v>
      </c>
      <c r="G134" s="45">
        <v>-15000</v>
      </c>
      <c r="H134" s="48">
        <v>15000</v>
      </c>
      <c r="I134" s="48">
        <f t="shared" si="1"/>
        <v>0</v>
      </c>
      <c r="K134" s="48">
        <f>'Fælles adm.'!K135</f>
        <v>0</v>
      </c>
      <c r="L134" s="48">
        <f>Odense!K135</f>
        <v>0</v>
      </c>
      <c r="M134" s="48">
        <f>Laks!K135</f>
        <v>0</v>
      </c>
      <c r="N134" s="48">
        <f>Assens!K135</f>
        <v>0</v>
      </c>
      <c r="O134" s="48">
        <f>Nyborg!K135</f>
        <v>0</v>
      </c>
      <c r="P134" s="48">
        <f>Nordfyn!K135</f>
        <v>0</v>
      </c>
      <c r="Q134" s="48">
        <f>Kerteminde!K135</f>
        <v>0</v>
      </c>
      <c r="R134" s="48">
        <f>'Særlige tilskud'!K135</f>
        <v>0</v>
      </c>
    </row>
    <row r="135" spans="1:18" x14ac:dyDescent="0.25">
      <c r="A135" s="43" t="s">
        <v>218</v>
      </c>
      <c r="B135" s="43" t="s">
        <v>219</v>
      </c>
      <c r="C135" s="46">
        <v>1186063.17</v>
      </c>
      <c r="D135" s="46">
        <v>813348.36</v>
      </c>
      <c r="E135" s="46">
        <v>-45.82</v>
      </c>
      <c r="F135" s="46">
        <v>145.82</v>
      </c>
      <c r="G135" s="46">
        <v>-372714.81</v>
      </c>
      <c r="H135" s="5">
        <v>1698661.9</v>
      </c>
      <c r="I135" s="5">
        <f t="shared" si="1"/>
        <v>580143.63</v>
      </c>
      <c r="K135" s="5">
        <f>'Fælles adm.'!K136</f>
        <v>42259.63</v>
      </c>
      <c r="L135" s="5">
        <f>Odense!K136</f>
        <v>165880</v>
      </c>
      <c r="M135" s="5">
        <f>Laks!K136</f>
        <v>0</v>
      </c>
      <c r="N135" s="5">
        <f>Assens!K136</f>
        <v>116100</v>
      </c>
      <c r="O135" s="5">
        <f>Nyborg!K136</f>
        <v>50000</v>
      </c>
      <c r="P135" s="5">
        <f>Nordfyn!K136</f>
        <v>103200</v>
      </c>
      <c r="Q135" s="5">
        <f>Kerteminde!K136</f>
        <v>102704</v>
      </c>
      <c r="R135" s="5">
        <f>'Særlige tilskud'!K136</f>
        <v>0</v>
      </c>
    </row>
    <row r="136" spans="1:18" x14ac:dyDescent="0.25">
      <c r="A136" s="42" t="s">
        <v>12</v>
      </c>
      <c r="B136" s="42" t="s">
        <v>12</v>
      </c>
      <c r="H136" s="48"/>
      <c r="I136" s="48">
        <f t="shared" si="1"/>
        <v>0</v>
      </c>
      <c r="K136" s="48">
        <f>'Fælles adm.'!K137</f>
        <v>0</v>
      </c>
      <c r="L136" s="48">
        <f>Odense!K137</f>
        <v>0</v>
      </c>
      <c r="M136" s="48">
        <f>Laks!K137</f>
        <v>0</v>
      </c>
      <c r="N136" s="48">
        <f>Assens!K137</f>
        <v>0</v>
      </c>
      <c r="O136" s="48">
        <f>Nyborg!K137</f>
        <v>0</v>
      </c>
      <c r="P136" s="48">
        <f>Nordfyn!K137</f>
        <v>0</v>
      </c>
      <c r="Q136" s="48">
        <f>Kerteminde!K137</f>
        <v>0</v>
      </c>
      <c r="R136" s="48">
        <f>'Særlige tilskud'!K137</f>
        <v>0</v>
      </c>
    </row>
    <row r="137" spans="1:18" x14ac:dyDescent="0.25">
      <c r="A137" s="43" t="s">
        <v>220</v>
      </c>
      <c r="B137" s="43" t="s">
        <v>221</v>
      </c>
      <c r="C137" s="46"/>
      <c r="D137" s="46"/>
      <c r="E137" s="46"/>
      <c r="F137" s="46"/>
      <c r="G137" s="46"/>
      <c r="H137" s="5"/>
      <c r="I137" s="5">
        <f t="shared" si="1"/>
        <v>0</v>
      </c>
      <c r="K137" s="5">
        <f>'Fælles adm.'!K138</f>
        <v>0</v>
      </c>
      <c r="L137" s="5">
        <f>Odense!K138</f>
        <v>0</v>
      </c>
      <c r="M137" s="5">
        <f>Laks!K138</f>
        <v>0</v>
      </c>
      <c r="N137" s="5">
        <f>Assens!K138</f>
        <v>0</v>
      </c>
      <c r="O137" s="5">
        <f>Nyborg!K138</f>
        <v>0</v>
      </c>
      <c r="P137" s="5">
        <f>Nordfyn!K138</f>
        <v>0</v>
      </c>
      <c r="Q137" s="5">
        <f>Kerteminde!K138</f>
        <v>0</v>
      </c>
      <c r="R137" s="5">
        <f>'Særlige tilskud'!K138</f>
        <v>0</v>
      </c>
    </row>
    <row r="138" spans="1:18" x14ac:dyDescent="0.25">
      <c r="A138" s="42" t="s">
        <v>222</v>
      </c>
      <c r="B138" s="42" t="s">
        <v>223</v>
      </c>
      <c r="D138" s="45">
        <v>-4000000</v>
      </c>
      <c r="E138" s="45">
        <v>100</v>
      </c>
      <c r="G138" s="45">
        <v>-4000000</v>
      </c>
      <c r="H138" s="48">
        <v>-2000000</v>
      </c>
      <c r="I138" s="48">
        <f t="shared" si="1"/>
        <v>-4000000</v>
      </c>
      <c r="K138" s="48">
        <f>'Fælles adm.'!K139</f>
        <v>0</v>
      </c>
      <c r="L138" s="48">
        <f>Odense!K139</f>
        <v>0</v>
      </c>
      <c r="M138" s="48">
        <f>Laks!K139</f>
        <v>0</v>
      </c>
      <c r="N138" s="48">
        <f>Assens!K139</f>
        <v>0</v>
      </c>
      <c r="O138" s="48">
        <f>Nyborg!K139</f>
        <v>0</v>
      </c>
      <c r="P138" s="48">
        <f>Nordfyn!K139</f>
        <v>0</v>
      </c>
      <c r="Q138" s="48">
        <f>Kerteminde!K139</f>
        <v>0</v>
      </c>
      <c r="R138" s="48">
        <f>'Særlige tilskud'!K139</f>
        <v>-4000000</v>
      </c>
    </row>
    <row r="139" spans="1:18" x14ac:dyDescent="0.25">
      <c r="A139" s="42" t="s">
        <v>224</v>
      </c>
      <c r="B139" s="42" t="s">
        <v>225</v>
      </c>
      <c r="H139" s="48">
        <v>0</v>
      </c>
      <c r="I139" s="48">
        <f t="shared" ref="I139:I202" si="2">SUM(K139:R139)</f>
        <v>0</v>
      </c>
      <c r="K139" s="48">
        <f>'Fælles adm.'!K140</f>
        <v>0</v>
      </c>
      <c r="L139" s="48">
        <f>Odense!K140</f>
        <v>0</v>
      </c>
      <c r="M139" s="48">
        <f>Laks!K140</f>
        <v>0</v>
      </c>
      <c r="N139" s="48">
        <f>Assens!K140</f>
        <v>0</v>
      </c>
      <c r="O139" s="48">
        <f>Nyborg!K140</f>
        <v>0</v>
      </c>
      <c r="P139" s="48">
        <f>Nordfyn!K140</f>
        <v>0</v>
      </c>
      <c r="Q139" s="48">
        <f>Kerteminde!K140</f>
        <v>0</v>
      </c>
      <c r="R139" s="48">
        <f>'Særlige tilskud'!K140</f>
        <v>0</v>
      </c>
    </row>
    <row r="140" spans="1:18" x14ac:dyDescent="0.25">
      <c r="A140" s="42" t="s">
        <v>226</v>
      </c>
      <c r="B140" s="42" t="s">
        <v>227</v>
      </c>
      <c r="C140" s="45">
        <v>-2035138.09</v>
      </c>
      <c r="D140" s="45">
        <v>-3926274.64</v>
      </c>
      <c r="E140" s="45">
        <v>48.17</v>
      </c>
      <c r="F140" s="45">
        <v>51.83</v>
      </c>
      <c r="G140" s="45">
        <v>-1891136.55</v>
      </c>
      <c r="H140" s="48">
        <v>-9974209.9399999976</v>
      </c>
      <c r="I140" s="48">
        <f t="shared" si="2"/>
        <v>-9958414.1099999994</v>
      </c>
      <c r="K140" s="48">
        <f>'Fælles adm.'!K141</f>
        <v>0</v>
      </c>
      <c r="L140" s="48">
        <f>Odense!K141</f>
        <v>-3639800.3572049998</v>
      </c>
      <c r="M140" s="48">
        <f>Laks!K141</f>
        <v>0</v>
      </c>
      <c r="N140" s="48">
        <f>Assens!K141</f>
        <v>-1448949.2530049998</v>
      </c>
      <c r="O140" s="48">
        <f>Nyborg!K141</f>
        <v>-1666042.6806029999</v>
      </c>
      <c r="P140" s="48">
        <f>Nordfyn!K141</f>
        <v>-1719818.1167969999</v>
      </c>
      <c r="Q140" s="48">
        <f>Kerteminde!K141</f>
        <v>-1483803.7023899998</v>
      </c>
      <c r="R140" s="48">
        <f>'Særlige tilskud'!K141</f>
        <v>0</v>
      </c>
    </row>
    <row r="141" spans="1:18" x14ac:dyDescent="0.25">
      <c r="A141" s="42" t="s">
        <v>228</v>
      </c>
      <c r="B141" s="42" t="s">
        <v>229</v>
      </c>
      <c r="C141" s="45">
        <v>2035138.09</v>
      </c>
      <c r="D141" s="45">
        <v>3926274.64</v>
      </c>
      <c r="E141" s="45">
        <v>48.17</v>
      </c>
      <c r="F141" s="45">
        <v>51.83</v>
      </c>
      <c r="G141" s="45">
        <v>1891136.55</v>
      </c>
      <c r="H141" s="48">
        <v>9974209.9399999976</v>
      </c>
      <c r="I141" s="48">
        <f t="shared" si="2"/>
        <v>9958414.1099999994</v>
      </c>
      <c r="K141" s="48">
        <f>'Fælles adm.'!K142</f>
        <v>9958414.1099999994</v>
      </c>
      <c r="L141" s="48">
        <f>Odense!K142</f>
        <v>0</v>
      </c>
      <c r="M141" s="48">
        <f>Laks!K142</f>
        <v>0</v>
      </c>
      <c r="N141" s="48">
        <f>Assens!K142</f>
        <v>0</v>
      </c>
      <c r="O141" s="48">
        <f>Nyborg!K142</f>
        <v>0</v>
      </c>
      <c r="P141" s="48">
        <f>Nordfyn!K142</f>
        <v>0</v>
      </c>
      <c r="Q141" s="48">
        <f>Kerteminde!K142</f>
        <v>0</v>
      </c>
      <c r="R141" s="48">
        <f>'Særlige tilskud'!K142</f>
        <v>0</v>
      </c>
    </row>
    <row r="142" spans="1:18" x14ac:dyDescent="0.25">
      <c r="A142" s="42" t="s">
        <v>230</v>
      </c>
      <c r="B142" s="42" t="s">
        <v>231</v>
      </c>
      <c r="C142" s="45">
        <v>-4140.8</v>
      </c>
      <c r="D142" s="45">
        <v>-7000</v>
      </c>
      <c r="E142" s="45">
        <v>40.85</v>
      </c>
      <c r="F142" s="45">
        <v>59.15</v>
      </c>
      <c r="G142" s="45">
        <v>-2859.2</v>
      </c>
      <c r="H142" s="48">
        <v>-10260.799999999999</v>
      </c>
      <c r="I142" s="48">
        <f t="shared" si="2"/>
        <v>0</v>
      </c>
      <c r="K142" s="48">
        <f>'Fælles adm.'!K143</f>
        <v>0</v>
      </c>
      <c r="L142" s="48">
        <f>Odense!K143</f>
        <v>0</v>
      </c>
      <c r="M142" s="48">
        <f>Laks!K143</f>
        <v>0</v>
      </c>
      <c r="N142" s="48">
        <f>Assens!K143</f>
        <v>0</v>
      </c>
      <c r="O142" s="48">
        <f>Nyborg!K143</f>
        <v>0</v>
      </c>
      <c r="P142" s="48">
        <f>Nordfyn!K143</f>
        <v>0</v>
      </c>
      <c r="Q142" s="48">
        <f>Kerteminde!K143</f>
        <v>0</v>
      </c>
      <c r="R142" s="48">
        <f>'Særlige tilskud'!K143</f>
        <v>0</v>
      </c>
    </row>
    <row r="143" spans="1:18" x14ac:dyDescent="0.25">
      <c r="A143" s="42" t="s">
        <v>232</v>
      </c>
      <c r="B143" s="42" t="s">
        <v>233</v>
      </c>
      <c r="C143" s="45">
        <v>-29987.16</v>
      </c>
      <c r="D143" s="45">
        <v>-274000</v>
      </c>
      <c r="E143" s="45">
        <v>89.06</v>
      </c>
      <c r="F143" s="45">
        <v>10.94</v>
      </c>
      <c r="G143" s="45">
        <v>-244012.84</v>
      </c>
      <c r="H143" s="48">
        <v>-274000</v>
      </c>
      <c r="I143" s="48">
        <f t="shared" si="2"/>
        <v>-191000</v>
      </c>
      <c r="K143" s="48">
        <f>'Fælles adm.'!K144</f>
        <v>-70000</v>
      </c>
      <c r="L143" s="48">
        <f>Odense!K144</f>
        <v>-46000</v>
      </c>
      <c r="M143" s="48">
        <f>Laks!K144</f>
        <v>-10000</v>
      </c>
      <c r="N143" s="48">
        <f>Assens!K144</f>
        <v>-20000</v>
      </c>
      <c r="O143" s="48">
        <f>Nyborg!K144</f>
        <v>-15000</v>
      </c>
      <c r="P143" s="48">
        <f>Nordfyn!K144</f>
        <v>-15000</v>
      </c>
      <c r="Q143" s="48">
        <f>Kerteminde!K144</f>
        <v>-15000</v>
      </c>
      <c r="R143" s="48">
        <f>'Særlige tilskud'!K144</f>
        <v>0</v>
      </c>
    </row>
    <row r="144" spans="1:18" x14ac:dyDescent="0.25">
      <c r="A144" s="42" t="s">
        <v>234</v>
      </c>
      <c r="B144" s="42" t="s">
        <v>235</v>
      </c>
      <c r="D144" s="45">
        <v>-25000</v>
      </c>
      <c r="E144" s="45">
        <v>100</v>
      </c>
      <c r="G144" s="45">
        <v>-25000</v>
      </c>
      <c r="H144" s="48">
        <v>-25000</v>
      </c>
      <c r="I144" s="48">
        <f t="shared" si="2"/>
        <v>-25000</v>
      </c>
      <c r="K144" s="48">
        <f>'Fælles adm.'!K145</f>
        <v>0</v>
      </c>
      <c r="L144" s="48">
        <f>Odense!K145</f>
        <v>-5000</v>
      </c>
      <c r="M144" s="48">
        <f>Laks!K145</f>
        <v>0</v>
      </c>
      <c r="N144" s="48">
        <f>Assens!K145</f>
        <v>-5000</v>
      </c>
      <c r="O144" s="48">
        <f>Nyborg!K145</f>
        <v>-5000</v>
      </c>
      <c r="P144" s="48">
        <f>Nordfyn!K145</f>
        <v>-5000</v>
      </c>
      <c r="Q144" s="48">
        <f>Kerteminde!K145</f>
        <v>-5000</v>
      </c>
      <c r="R144" s="48">
        <f>'Særlige tilskud'!K145</f>
        <v>0</v>
      </c>
    </row>
    <row r="145" spans="1:18" x14ac:dyDescent="0.25">
      <c r="A145" s="42" t="s">
        <v>236</v>
      </c>
      <c r="B145" s="42" t="s">
        <v>237</v>
      </c>
      <c r="C145" s="45">
        <v>-5782.94</v>
      </c>
      <c r="D145" s="45">
        <v>-35000</v>
      </c>
      <c r="E145" s="45">
        <v>83.48</v>
      </c>
      <c r="F145" s="45">
        <v>16.52</v>
      </c>
      <c r="G145" s="45">
        <v>-29217.06</v>
      </c>
      <c r="H145" s="48">
        <v>-35299.199999999997</v>
      </c>
      <c r="I145" s="48">
        <f t="shared" si="2"/>
        <v>-30000</v>
      </c>
      <c r="K145" s="48">
        <f>'Fælles adm.'!K146</f>
        <v>0</v>
      </c>
      <c r="L145" s="48">
        <f>Odense!K146</f>
        <v>-5000</v>
      </c>
      <c r="M145" s="48">
        <f>Laks!K146</f>
        <v>-5000</v>
      </c>
      <c r="N145" s="48">
        <f>Assens!K146</f>
        <v>-5000</v>
      </c>
      <c r="O145" s="48">
        <f>Nyborg!K146</f>
        <v>-5000</v>
      </c>
      <c r="P145" s="48">
        <f>Nordfyn!K146</f>
        <v>-5000</v>
      </c>
      <c r="Q145" s="48">
        <f>Kerteminde!K146</f>
        <v>-5000</v>
      </c>
      <c r="R145" s="48">
        <f>'Særlige tilskud'!K146</f>
        <v>0</v>
      </c>
    </row>
    <row r="146" spans="1:18" x14ac:dyDescent="0.25">
      <c r="A146" s="42" t="s">
        <v>238</v>
      </c>
      <c r="B146" s="42" t="s">
        <v>239</v>
      </c>
      <c r="C146" s="45">
        <v>-28318.55</v>
      </c>
      <c r="D146" s="45">
        <v>-63506.63</v>
      </c>
      <c r="E146" s="45">
        <v>55.41</v>
      </c>
      <c r="F146" s="45">
        <v>44.59</v>
      </c>
      <c r="G146" s="45">
        <v>-35188.080000000002</v>
      </c>
      <c r="H146" s="48">
        <v>-71692.2</v>
      </c>
      <c r="I146" s="48">
        <f t="shared" si="2"/>
        <v>-49000</v>
      </c>
      <c r="K146" s="48">
        <f>'Fælles adm.'!K147</f>
        <v>-25000</v>
      </c>
      <c r="L146" s="48">
        <f>Odense!K147</f>
        <v>-4000</v>
      </c>
      <c r="M146" s="48">
        <f>Laks!K147</f>
        <v>-4000</v>
      </c>
      <c r="N146" s="48">
        <f>Assens!K147</f>
        <v>-4000</v>
      </c>
      <c r="O146" s="48">
        <f>Nyborg!K147</f>
        <v>-4000</v>
      </c>
      <c r="P146" s="48">
        <f>Nordfyn!K147</f>
        <v>-4000</v>
      </c>
      <c r="Q146" s="48">
        <f>Kerteminde!K147</f>
        <v>-4000</v>
      </c>
      <c r="R146" s="48">
        <f>'Særlige tilskud'!K147</f>
        <v>0</v>
      </c>
    </row>
    <row r="147" spans="1:18" x14ac:dyDescent="0.25">
      <c r="A147" s="42" t="s">
        <v>240</v>
      </c>
      <c r="B147" s="42" t="s">
        <v>241</v>
      </c>
      <c r="C147" s="45">
        <v>-236820.31</v>
      </c>
      <c r="G147" s="45">
        <v>236820.31</v>
      </c>
      <c r="H147" s="48">
        <v>-236820.31</v>
      </c>
      <c r="I147" s="48">
        <f t="shared" si="2"/>
        <v>0</v>
      </c>
      <c r="K147" s="48">
        <f>'Fælles adm.'!K148</f>
        <v>0</v>
      </c>
      <c r="L147" s="48">
        <f>Odense!K148</f>
        <v>0</v>
      </c>
      <c r="M147" s="48">
        <f>Laks!K148</f>
        <v>0</v>
      </c>
      <c r="N147" s="48">
        <f>Assens!K148</f>
        <v>0</v>
      </c>
      <c r="O147" s="48">
        <f>Nyborg!K148</f>
        <v>0</v>
      </c>
      <c r="P147" s="48">
        <f>Nordfyn!K148</f>
        <v>0</v>
      </c>
      <c r="Q147" s="48">
        <f>Kerteminde!K148</f>
        <v>0</v>
      </c>
      <c r="R147" s="48">
        <f>'Særlige tilskud'!K148</f>
        <v>0</v>
      </c>
    </row>
    <row r="148" spans="1:18" x14ac:dyDescent="0.25">
      <c r="A148" s="42" t="s">
        <v>242</v>
      </c>
      <c r="B148" s="42" t="s">
        <v>243</v>
      </c>
      <c r="C148" s="45">
        <v>-45160.07</v>
      </c>
      <c r="D148" s="45">
        <v>-192660</v>
      </c>
      <c r="E148" s="45">
        <v>76.56</v>
      </c>
      <c r="F148" s="45">
        <v>23.44</v>
      </c>
      <c r="G148" s="45">
        <v>-147499.93</v>
      </c>
      <c r="H148" s="48">
        <v>-192660</v>
      </c>
      <c r="I148" s="48">
        <f t="shared" si="2"/>
        <v>-192660</v>
      </c>
      <c r="K148" s="48">
        <f>'Fælles adm.'!K149</f>
        <v>-192660</v>
      </c>
      <c r="L148" s="48">
        <f>Odense!K149</f>
        <v>0</v>
      </c>
      <c r="M148" s="48">
        <f>Laks!K149</f>
        <v>0</v>
      </c>
      <c r="N148" s="48">
        <f>Assens!K149</f>
        <v>0</v>
      </c>
      <c r="O148" s="48">
        <f>Nyborg!K149</f>
        <v>0</v>
      </c>
      <c r="P148" s="48">
        <f>Nordfyn!K149</f>
        <v>0</v>
      </c>
      <c r="Q148" s="48">
        <f>Kerteminde!K149</f>
        <v>0</v>
      </c>
      <c r="R148" s="48">
        <f>'Særlige tilskud'!K149</f>
        <v>0</v>
      </c>
    </row>
    <row r="149" spans="1:18" x14ac:dyDescent="0.25">
      <c r="A149" s="42" t="s">
        <v>244</v>
      </c>
      <c r="B149" s="42" t="s">
        <v>245</v>
      </c>
      <c r="C149" s="45">
        <v>-69039.679999999993</v>
      </c>
      <c r="D149" s="45">
        <v>-156400</v>
      </c>
      <c r="E149" s="45">
        <v>55.86</v>
      </c>
      <c r="F149" s="45">
        <v>44.14</v>
      </c>
      <c r="G149" s="45">
        <v>-87360.320000000007</v>
      </c>
      <c r="H149" s="48">
        <v>-156400</v>
      </c>
      <c r="I149" s="48">
        <f t="shared" si="2"/>
        <v>-156400</v>
      </c>
      <c r="K149" s="48">
        <f>'Fælles adm.'!K150</f>
        <v>-156400</v>
      </c>
      <c r="L149" s="48">
        <f>Odense!K150</f>
        <v>0</v>
      </c>
      <c r="M149" s="48">
        <f>Laks!K150</f>
        <v>0</v>
      </c>
      <c r="N149" s="48">
        <f>Assens!K150</f>
        <v>0</v>
      </c>
      <c r="O149" s="48">
        <f>Nyborg!K150</f>
        <v>0</v>
      </c>
      <c r="P149" s="48">
        <f>Nordfyn!K150</f>
        <v>0</v>
      </c>
      <c r="Q149" s="48">
        <f>Kerteminde!K150</f>
        <v>0</v>
      </c>
      <c r="R149" s="48">
        <f>'Særlige tilskud'!K150</f>
        <v>0</v>
      </c>
    </row>
    <row r="150" spans="1:18" x14ac:dyDescent="0.25">
      <c r="A150" s="42" t="s">
        <v>246</v>
      </c>
      <c r="B150" s="42" t="s">
        <v>247</v>
      </c>
      <c r="C150" s="45">
        <v>-449754.97</v>
      </c>
      <c r="D150" s="45">
        <v>-4814375</v>
      </c>
      <c r="E150" s="45">
        <v>90.66</v>
      </c>
      <c r="F150" s="45">
        <v>9.34</v>
      </c>
      <c r="G150" s="45">
        <v>-4364620.03</v>
      </c>
      <c r="H150" s="48">
        <v>-4583588.24</v>
      </c>
      <c r="I150" s="48">
        <f t="shared" si="2"/>
        <v>-832141.26</v>
      </c>
      <c r="K150" s="48">
        <f>'Fælles adm.'!K151</f>
        <v>-832141.26</v>
      </c>
      <c r="L150" s="48">
        <f>Odense!K151</f>
        <v>0</v>
      </c>
      <c r="M150" s="48">
        <f>Laks!K151</f>
        <v>0</v>
      </c>
      <c r="N150" s="48">
        <f>Assens!K151</f>
        <v>0</v>
      </c>
      <c r="O150" s="48">
        <f>Nyborg!K151</f>
        <v>0</v>
      </c>
      <c r="P150" s="48">
        <f>Nordfyn!K151</f>
        <v>0</v>
      </c>
      <c r="Q150" s="48">
        <f>Kerteminde!K151</f>
        <v>0</v>
      </c>
      <c r="R150" s="48">
        <f>'Særlige tilskud'!K151</f>
        <v>0</v>
      </c>
    </row>
    <row r="151" spans="1:18" x14ac:dyDescent="0.25">
      <c r="A151" s="42" t="s">
        <v>248</v>
      </c>
      <c r="B151" s="42" t="s">
        <v>249</v>
      </c>
      <c r="C151" s="45">
        <v>-109287.71</v>
      </c>
      <c r="D151" s="45">
        <v>-390000</v>
      </c>
      <c r="E151" s="45">
        <v>71.98</v>
      </c>
      <c r="F151" s="45">
        <v>28.02</v>
      </c>
      <c r="G151" s="45">
        <v>-280712.28999999998</v>
      </c>
      <c r="H151" s="48">
        <v>-390000</v>
      </c>
      <c r="I151" s="48">
        <f t="shared" si="2"/>
        <v>-440000</v>
      </c>
      <c r="K151" s="48">
        <f>'Fælles adm.'!K152</f>
        <v>-50000</v>
      </c>
      <c r="L151" s="48">
        <f>Odense!K152</f>
        <v>-120000</v>
      </c>
      <c r="M151" s="48">
        <f>Laks!K152</f>
        <v>-20000</v>
      </c>
      <c r="N151" s="48">
        <f>Assens!K152</f>
        <v>-50000</v>
      </c>
      <c r="O151" s="48">
        <f>Nyborg!K152</f>
        <v>-100000</v>
      </c>
      <c r="P151" s="48">
        <f>Nordfyn!K152</f>
        <v>-50000</v>
      </c>
      <c r="Q151" s="48">
        <f>Kerteminde!K152</f>
        <v>-50000</v>
      </c>
      <c r="R151" s="48">
        <f>'Særlige tilskud'!K152</f>
        <v>0</v>
      </c>
    </row>
    <row r="152" spans="1:18" x14ac:dyDescent="0.25">
      <c r="A152" s="42" t="s">
        <v>250</v>
      </c>
      <c r="B152" s="42" t="s">
        <v>251</v>
      </c>
      <c r="H152" s="48">
        <v>0</v>
      </c>
      <c r="I152" s="48">
        <f t="shared" si="2"/>
        <v>0</v>
      </c>
      <c r="K152" s="48">
        <f>'Fælles adm.'!K153</f>
        <v>0</v>
      </c>
      <c r="L152" s="48">
        <f>Odense!K153</f>
        <v>0</v>
      </c>
      <c r="M152" s="48">
        <f>Laks!K153</f>
        <v>0</v>
      </c>
      <c r="N152" s="48">
        <f>Assens!K153</f>
        <v>0</v>
      </c>
      <c r="O152" s="48">
        <f>Nyborg!K153</f>
        <v>0</v>
      </c>
      <c r="P152" s="48">
        <f>Nordfyn!K153</f>
        <v>0</v>
      </c>
      <c r="Q152" s="48">
        <f>Kerteminde!K153</f>
        <v>0</v>
      </c>
      <c r="R152" s="48">
        <f>'Særlige tilskud'!K153</f>
        <v>0</v>
      </c>
    </row>
    <row r="153" spans="1:18" x14ac:dyDescent="0.25">
      <c r="A153" s="42" t="s">
        <v>252</v>
      </c>
      <c r="B153" s="42" t="s">
        <v>253</v>
      </c>
      <c r="C153" s="45">
        <v>-100431.72</v>
      </c>
      <c r="D153" s="45">
        <v>-70000</v>
      </c>
      <c r="E153" s="45">
        <v>-43.47</v>
      </c>
      <c r="F153" s="45">
        <v>143.47</v>
      </c>
      <c r="G153" s="45">
        <v>30431.72</v>
      </c>
      <c r="H153" s="48">
        <v>-100431.72</v>
      </c>
      <c r="I153" s="48">
        <f t="shared" si="2"/>
        <v>-99754.02</v>
      </c>
      <c r="K153" s="48">
        <f>'Fælles adm.'!K154</f>
        <v>0</v>
      </c>
      <c r="L153" s="48">
        <f>Odense!K154</f>
        <v>-10488.3</v>
      </c>
      <c r="M153" s="48">
        <f>Laks!K154</f>
        <v>0</v>
      </c>
      <c r="N153" s="48">
        <f>Assens!K154</f>
        <v>-17374.5</v>
      </c>
      <c r="O153" s="48">
        <f>Nyborg!K154</f>
        <v>0</v>
      </c>
      <c r="P153" s="48">
        <f>Nordfyn!K154</f>
        <v>0</v>
      </c>
      <c r="Q153" s="48">
        <f>Kerteminde!K154</f>
        <v>-71891.22</v>
      </c>
      <c r="R153" s="48">
        <f>'Særlige tilskud'!K154</f>
        <v>0</v>
      </c>
    </row>
    <row r="154" spans="1:18" x14ac:dyDescent="0.25">
      <c r="A154" s="42" t="s">
        <v>254</v>
      </c>
      <c r="B154" s="42" t="s">
        <v>255</v>
      </c>
      <c r="C154" s="45">
        <v>-111985.19</v>
      </c>
      <c r="D154" s="45">
        <v>-213155.18</v>
      </c>
      <c r="E154" s="45">
        <v>47.46</v>
      </c>
      <c r="F154" s="45">
        <v>52.54</v>
      </c>
      <c r="G154" s="45">
        <v>-101169.99</v>
      </c>
      <c r="H154" s="48">
        <v>-213155.18</v>
      </c>
      <c r="I154" s="48">
        <f t="shared" si="2"/>
        <v>-203000</v>
      </c>
      <c r="K154" s="48">
        <f>'Fælles adm.'!K155</f>
        <v>-203000</v>
      </c>
      <c r="L154" s="48">
        <f>Odense!K155</f>
        <v>0</v>
      </c>
      <c r="M154" s="48">
        <f>Laks!K155</f>
        <v>0</v>
      </c>
      <c r="N154" s="48">
        <f>Assens!K155</f>
        <v>0</v>
      </c>
      <c r="O154" s="48">
        <f>Nyborg!K155</f>
        <v>0</v>
      </c>
      <c r="P154" s="48">
        <f>Nordfyn!K155</f>
        <v>0</v>
      </c>
      <c r="Q154" s="48">
        <f>Kerteminde!K155</f>
        <v>0</v>
      </c>
      <c r="R154" s="48">
        <f>'Særlige tilskud'!K155</f>
        <v>0</v>
      </c>
    </row>
    <row r="155" spans="1:18" x14ac:dyDescent="0.25">
      <c r="A155" s="42" t="s">
        <v>256</v>
      </c>
      <c r="B155" s="42" t="s">
        <v>257</v>
      </c>
      <c r="D155" s="45">
        <v>-72666.66</v>
      </c>
      <c r="E155" s="45">
        <v>100</v>
      </c>
      <c r="G155" s="45">
        <v>-72666.66</v>
      </c>
      <c r="H155" s="48">
        <v>-72666.66</v>
      </c>
      <c r="I155" s="48">
        <f t="shared" si="2"/>
        <v>-56200</v>
      </c>
      <c r="K155" s="48">
        <f>'Fælles adm.'!K156</f>
        <v>0</v>
      </c>
      <c r="L155" s="48">
        <f>Odense!K156</f>
        <v>-22500</v>
      </c>
      <c r="M155" s="48">
        <f>Laks!K156</f>
        <v>0</v>
      </c>
      <c r="N155" s="48">
        <f>Assens!K156</f>
        <v>-8000</v>
      </c>
      <c r="O155" s="48">
        <f>Nyborg!K156</f>
        <v>-8000</v>
      </c>
      <c r="P155" s="48">
        <f>Nordfyn!K156</f>
        <v>-9500</v>
      </c>
      <c r="Q155" s="48">
        <f>Kerteminde!K156</f>
        <v>-8200</v>
      </c>
      <c r="R155" s="48">
        <f>'Særlige tilskud'!K156</f>
        <v>0</v>
      </c>
    </row>
    <row r="156" spans="1:18" x14ac:dyDescent="0.25">
      <c r="A156" s="42" t="s">
        <v>258</v>
      </c>
      <c r="B156" s="42" t="s">
        <v>259</v>
      </c>
      <c r="C156" s="45">
        <v>-193393.85</v>
      </c>
      <c r="D156" s="45">
        <v>-49323.4</v>
      </c>
      <c r="E156" s="45">
        <v>-292.08999999999997</v>
      </c>
      <c r="F156" s="45">
        <v>392.09</v>
      </c>
      <c r="G156" s="45">
        <v>144070.45000000001</v>
      </c>
      <c r="H156" s="48">
        <v>-193393.85</v>
      </c>
      <c r="I156" s="48">
        <f t="shared" si="2"/>
        <v>-193393.85</v>
      </c>
      <c r="K156" s="48">
        <f>'Fælles adm.'!K157</f>
        <v>-193393.85</v>
      </c>
      <c r="L156" s="48">
        <f>Odense!K157</f>
        <v>0</v>
      </c>
      <c r="M156" s="48">
        <f>Laks!K157</f>
        <v>0</v>
      </c>
      <c r="N156" s="48">
        <f>Assens!K157</f>
        <v>0</v>
      </c>
      <c r="O156" s="48">
        <f>Nyborg!K157</f>
        <v>0</v>
      </c>
      <c r="P156" s="48">
        <f>Nordfyn!K157</f>
        <v>0</v>
      </c>
      <c r="Q156" s="48">
        <f>Kerteminde!K157</f>
        <v>0</v>
      </c>
      <c r="R156" s="48">
        <f>'Særlige tilskud'!K157</f>
        <v>0</v>
      </c>
    </row>
    <row r="157" spans="1:18" x14ac:dyDescent="0.25">
      <c r="A157" s="42" t="s">
        <v>260</v>
      </c>
      <c r="B157" s="42" t="s">
        <v>261</v>
      </c>
      <c r="D157" s="45">
        <v>-866371</v>
      </c>
      <c r="E157" s="45">
        <v>100</v>
      </c>
      <c r="G157" s="45">
        <v>-866371</v>
      </c>
      <c r="H157" s="48">
        <v>0</v>
      </c>
      <c r="I157" s="48">
        <f t="shared" si="2"/>
        <v>0</v>
      </c>
      <c r="K157" s="48">
        <f>'Fælles adm.'!K158</f>
        <v>0</v>
      </c>
      <c r="L157" s="48">
        <f>Odense!K158</f>
        <v>0</v>
      </c>
      <c r="M157" s="48">
        <f>Laks!K158</f>
        <v>0</v>
      </c>
      <c r="N157" s="48">
        <f>Assens!K158</f>
        <v>0</v>
      </c>
      <c r="O157" s="48">
        <f>Nyborg!K158</f>
        <v>0</v>
      </c>
      <c r="P157" s="48">
        <f>Nordfyn!K158</f>
        <v>0</v>
      </c>
      <c r="Q157" s="48">
        <f>Kerteminde!K158</f>
        <v>0</v>
      </c>
      <c r="R157" s="48">
        <f>'Særlige tilskud'!K158</f>
        <v>0</v>
      </c>
    </row>
    <row r="158" spans="1:18" x14ac:dyDescent="0.25">
      <c r="A158" s="42" t="s">
        <v>262</v>
      </c>
      <c r="B158" s="42" t="s">
        <v>263</v>
      </c>
      <c r="C158" s="45">
        <v>-48932.63</v>
      </c>
      <c r="D158" s="45">
        <v>-1280000</v>
      </c>
      <c r="E158" s="45">
        <v>96.18</v>
      </c>
      <c r="F158" s="45">
        <v>3.82</v>
      </c>
      <c r="G158" s="45">
        <v>-1231067.3700000001</v>
      </c>
      <c r="H158" s="48">
        <v>-784743.46</v>
      </c>
      <c r="I158" s="48">
        <f t="shared" si="2"/>
        <v>0</v>
      </c>
      <c r="K158" s="48">
        <f>'Fælles adm.'!K159</f>
        <v>0</v>
      </c>
      <c r="L158" s="48">
        <f>Odense!K159</f>
        <v>0</v>
      </c>
      <c r="M158" s="48">
        <f>Laks!K159</f>
        <v>0</v>
      </c>
      <c r="N158" s="48">
        <f>Assens!K159</f>
        <v>0</v>
      </c>
      <c r="O158" s="48">
        <f>Nyborg!K159</f>
        <v>0</v>
      </c>
      <c r="P158" s="48">
        <f>Nordfyn!K159</f>
        <v>0</v>
      </c>
      <c r="Q158" s="48">
        <f>Kerteminde!K159</f>
        <v>0</v>
      </c>
      <c r="R158" s="48">
        <f>'Særlige tilskud'!K159</f>
        <v>0</v>
      </c>
    </row>
    <row r="159" spans="1:18" x14ac:dyDescent="0.25">
      <c r="A159" s="42" t="s">
        <v>264</v>
      </c>
      <c r="B159" s="42" t="s">
        <v>265</v>
      </c>
      <c r="H159" s="48">
        <v>0</v>
      </c>
      <c r="I159" s="48">
        <f t="shared" si="2"/>
        <v>0</v>
      </c>
      <c r="K159" s="48">
        <f>'Fælles adm.'!K160</f>
        <v>0</v>
      </c>
      <c r="L159" s="48">
        <f>Odense!K160</f>
        <v>0</v>
      </c>
      <c r="M159" s="48">
        <f>Laks!K160</f>
        <v>0</v>
      </c>
      <c r="N159" s="48">
        <f>Assens!K160</f>
        <v>0</v>
      </c>
      <c r="O159" s="48">
        <f>Nyborg!K160</f>
        <v>0</v>
      </c>
      <c r="P159" s="48">
        <f>Nordfyn!K160</f>
        <v>0</v>
      </c>
      <c r="Q159" s="48">
        <f>Kerteminde!K160</f>
        <v>0</v>
      </c>
      <c r="R159" s="48">
        <f>'Særlige tilskud'!K160</f>
        <v>0</v>
      </c>
    </row>
    <row r="160" spans="1:18" x14ac:dyDescent="0.25">
      <c r="A160" s="42" t="s">
        <v>266</v>
      </c>
      <c r="B160" s="42" t="s">
        <v>267</v>
      </c>
      <c r="H160" s="48">
        <v>0</v>
      </c>
      <c r="I160" s="48">
        <f t="shared" si="2"/>
        <v>0</v>
      </c>
      <c r="K160" s="48">
        <f>'Fælles adm.'!K161</f>
        <v>0</v>
      </c>
      <c r="L160" s="48">
        <f>Odense!K161</f>
        <v>0</v>
      </c>
      <c r="M160" s="48">
        <f>Laks!K161</f>
        <v>0</v>
      </c>
      <c r="N160" s="48">
        <f>Assens!K161</f>
        <v>0</v>
      </c>
      <c r="O160" s="48">
        <f>Nyborg!K161</f>
        <v>0</v>
      </c>
      <c r="P160" s="48">
        <f>Nordfyn!K161</f>
        <v>0</v>
      </c>
      <c r="Q160" s="48">
        <f>Kerteminde!K161</f>
        <v>0</v>
      </c>
      <c r="R160" s="48">
        <f>'Særlige tilskud'!K161</f>
        <v>0</v>
      </c>
    </row>
    <row r="161" spans="1:18" x14ac:dyDescent="0.25">
      <c r="A161" s="42" t="s">
        <v>268</v>
      </c>
      <c r="B161" s="42" t="s">
        <v>269</v>
      </c>
      <c r="C161" s="45">
        <v>-702399.28</v>
      </c>
      <c r="D161" s="45">
        <v>-1508000</v>
      </c>
      <c r="E161" s="45">
        <v>53.42</v>
      </c>
      <c r="F161" s="45">
        <v>46.58</v>
      </c>
      <c r="G161" s="45">
        <v>-805600.72</v>
      </c>
      <c r="H161" s="48">
        <v>-1512771.94</v>
      </c>
      <c r="I161" s="48">
        <f t="shared" si="2"/>
        <v>-1567771.94</v>
      </c>
      <c r="K161" s="48">
        <f>'Fælles adm.'!K162</f>
        <v>-928100.5</v>
      </c>
      <c r="L161" s="48">
        <f>Odense!K162</f>
        <v>0</v>
      </c>
      <c r="M161" s="48">
        <f>Laks!K162</f>
        <v>-639671.43999999994</v>
      </c>
      <c r="N161" s="48">
        <f>Assens!K162</f>
        <v>0</v>
      </c>
      <c r="O161" s="48">
        <f>Nyborg!K162</f>
        <v>0</v>
      </c>
      <c r="P161" s="48">
        <f>Nordfyn!K162</f>
        <v>0</v>
      </c>
      <c r="Q161" s="48">
        <f>Kerteminde!K162</f>
        <v>0</v>
      </c>
      <c r="R161" s="48">
        <f>'Særlige tilskud'!K162</f>
        <v>0</v>
      </c>
    </row>
    <row r="162" spans="1:18" x14ac:dyDescent="0.25">
      <c r="A162" s="42" t="s">
        <v>270</v>
      </c>
      <c r="B162" s="42" t="s">
        <v>271</v>
      </c>
      <c r="C162" s="45">
        <v>-354702.35</v>
      </c>
      <c r="D162" s="45">
        <v>-793000</v>
      </c>
      <c r="E162" s="45">
        <v>55.27</v>
      </c>
      <c r="F162" s="45">
        <v>44.73</v>
      </c>
      <c r="G162" s="45">
        <v>-438297.65</v>
      </c>
      <c r="H162" s="48">
        <v>-695046.39999999991</v>
      </c>
      <c r="I162" s="48">
        <f t="shared" si="2"/>
        <v>-740046.39999999991</v>
      </c>
      <c r="K162" s="48">
        <f>'Fælles adm.'!K163</f>
        <v>-725046.39999999991</v>
      </c>
      <c r="L162" s="48">
        <f>Odense!K163</f>
        <v>0</v>
      </c>
      <c r="M162" s="48">
        <f>Laks!K163</f>
        <v>-15000</v>
      </c>
      <c r="N162" s="48">
        <f>Assens!K163</f>
        <v>0</v>
      </c>
      <c r="O162" s="48">
        <f>Nyborg!K163</f>
        <v>0</v>
      </c>
      <c r="P162" s="48">
        <f>Nordfyn!K163</f>
        <v>0</v>
      </c>
      <c r="Q162" s="48">
        <f>Kerteminde!K163</f>
        <v>0</v>
      </c>
      <c r="R162" s="48">
        <f>'Særlige tilskud'!K163</f>
        <v>0</v>
      </c>
    </row>
    <row r="163" spans="1:18" x14ac:dyDescent="0.25">
      <c r="A163" s="42" t="s">
        <v>272</v>
      </c>
      <c r="B163" s="42" t="s">
        <v>273</v>
      </c>
      <c r="C163" s="45">
        <v>-237134.32</v>
      </c>
      <c r="D163" s="45">
        <v>-324642</v>
      </c>
      <c r="E163" s="45">
        <v>26.96</v>
      </c>
      <c r="F163" s="45">
        <v>73.040000000000006</v>
      </c>
      <c r="G163" s="45">
        <v>-87507.68</v>
      </c>
      <c r="H163" s="48">
        <v>-511585.14</v>
      </c>
      <c r="I163" s="48">
        <f t="shared" si="2"/>
        <v>-519585.14</v>
      </c>
      <c r="K163" s="48">
        <f>'Fælles adm.'!K164</f>
        <v>-236933.12</v>
      </c>
      <c r="L163" s="48">
        <f>Odense!K164</f>
        <v>0</v>
      </c>
      <c r="M163" s="48">
        <f>Laks!K164</f>
        <v>-282652.02</v>
      </c>
      <c r="N163" s="48">
        <f>Assens!K164</f>
        <v>0</v>
      </c>
      <c r="O163" s="48">
        <f>Nyborg!K164</f>
        <v>0</v>
      </c>
      <c r="P163" s="48">
        <f>Nordfyn!K164</f>
        <v>0</v>
      </c>
      <c r="Q163" s="48">
        <f>Kerteminde!K164</f>
        <v>0</v>
      </c>
      <c r="R163" s="48">
        <f>'Særlige tilskud'!K164</f>
        <v>0</v>
      </c>
    </row>
    <row r="164" spans="1:18" x14ac:dyDescent="0.25">
      <c r="A164" s="42" t="s">
        <v>274</v>
      </c>
      <c r="B164" s="42" t="s">
        <v>275</v>
      </c>
      <c r="C164" s="45">
        <v>-22626.59</v>
      </c>
      <c r="D164" s="45">
        <v>-78500</v>
      </c>
      <c r="E164" s="45">
        <v>71.180000000000007</v>
      </c>
      <c r="F164" s="45">
        <v>28.82</v>
      </c>
      <c r="G164" s="45">
        <v>-55873.41</v>
      </c>
      <c r="H164" s="48">
        <v>-78500</v>
      </c>
      <c r="I164" s="48">
        <f t="shared" si="2"/>
        <v>-78500</v>
      </c>
      <c r="K164" s="48">
        <f>'Fælles adm.'!K165</f>
        <v>-78500</v>
      </c>
      <c r="L164" s="48">
        <f>Odense!K165</f>
        <v>0</v>
      </c>
      <c r="M164" s="48">
        <f>Laks!K165</f>
        <v>0</v>
      </c>
      <c r="N164" s="48">
        <f>Assens!K165</f>
        <v>0</v>
      </c>
      <c r="O164" s="48">
        <f>Nyborg!K165</f>
        <v>0</v>
      </c>
      <c r="P164" s="48">
        <f>Nordfyn!K165</f>
        <v>0</v>
      </c>
      <c r="Q164" s="48">
        <f>Kerteminde!K165</f>
        <v>0</v>
      </c>
      <c r="R164" s="48">
        <f>'Særlige tilskud'!K165</f>
        <v>0</v>
      </c>
    </row>
    <row r="165" spans="1:18" x14ac:dyDescent="0.25">
      <c r="A165" s="42" t="s">
        <v>276</v>
      </c>
      <c r="B165" s="42" t="s">
        <v>277</v>
      </c>
      <c r="C165" s="45">
        <v>-12992.86</v>
      </c>
      <c r="D165" s="45">
        <v>-84000</v>
      </c>
      <c r="E165" s="45">
        <v>84.53</v>
      </c>
      <c r="F165" s="45">
        <v>15.47</v>
      </c>
      <c r="G165" s="45">
        <v>-71007.14</v>
      </c>
      <c r="H165" s="48">
        <v>-84407.85</v>
      </c>
      <c r="I165" s="48">
        <f t="shared" si="2"/>
        <v>-84407.85</v>
      </c>
      <c r="K165" s="48">
        <f>'Fælles adm.'!K166</f>
        <v>-84000</v>
      </c>
      <c r="L165" s="48">
        <f>Odense!K166</f>
        <v>0</v>
      </c>
      <c r="M165" s="48">
        <f>Laks!K166</f>
        <v>-407.85</v>
      </c>
      <c r="N165" s="48">
        <f>Assens!K166</f>
        <v>0</v>
      </c>
      <c r="O165" s="48">
        <f>Nyborg!K166</f>
        <v>0</v>
      </c>
      <c r="P165" s="48">
        <f>Nordfyn!K166</f>
        <v>0</v>
      </c>
      <c r="Q165" s="48">
        <f>Kerteminde!K166</f>
        <v>0</v>
      </c>
      <c r="R165" s="48">
        <f>'Særlige tilskud'!K166</f>
        <v>0</v>
      </c>
    </row>
    <row r="166" spans="1:18" x14ac:dyDescent="0.25">
      <c r="A166" s="42" t="s">
        <v>278</v>
      </c>
      <c r="B166" s="42" t="s">
        <v>279</v>
      </c>
      <c r="C166" s="45">
        <v>229516.88</v>
      </c>
      <c r="G166" s="45">
        <v>-229516.88</v>
      </c>
      <c r="H166" s="48">
        <v>459033.76</v>
      </c>
      <c r="I166" s="48">
        <f t="shared" si="2"/>
        <v>459033.76</v>
      </c>
      <c r="K166" s="48">
        <f>'Fælles adm.'!K167</f>
        <v>0</v>
      </c>
      <c r="L166" s="48">
        <f>Odense!K167</f>
        <v>0</v>
      </c>
      <c r="M166" s="48">
        <f>Laks!K167</f>
        <v>459033.76</v>
      </c>
      <c r="N166" s="48">
        <f>Assens!K167</f>
        <v>0</v>
      </c>
      <c r="O166" s="48">
        <f>Nyborg!K167</f>
        <v>0</v>
      </c>
      <c r="P166" s="48">
        <f>Nordfyn!K167</f>
        <v>0</v>
      </c>
      <c r="Q166" s="48">
        <f>Kerteminde!K167</f>
        <v>0</v>
      </c>
      <c r="R166" s="48">
        <f>'Særlige tilskud'!K167</f>
        <v>0</v>
      </c>
    </row>
    <row r="167" spans="1:18" x14ac:dyDescent="0.25">
      <c r="A167" s="42" t="s">
        <v>280</v>
      </c>
      <c r="B167" s="42" t="s">
        <v>281</v>
      </c>
      <c r="C167" s="45">
        <v>-275829.33</v>
      </c>
      <c r="D167" s="45">
        <v>-580000</v>
      </c>
      <c r="E167" s="45">
        <v>52.44</v>
      </c>
      <c r="F167" s="45">
        <v>47.56</v>
      </c>
      <c r="G167" s="45">
        <v>-304170.67</v>
      </c>
      <c r="H167" s="48">
        <v>-604459.51</v>
      </c>
      <c r="I167" s="48">
        <f t="shared" si="2"/>
        <v>-604459.51</v>
      </c>
      <c r="K167" s="48">
        <f>'Fælles adm.'!K168</f>
        <v>-400000</v>
      </c>
      <c r="L167" s="48">
        <f>Odense!K168</f>
        <v>-70000</v>
      </c>
      <c r="M167" s="48">
        <f>Laks!K168</f>
        <v>0</v>
      </c>
      <c r="N167" s="48">
        <f>Assens!K168</f>
        <v>-20000</v>
      </c>
      <c r="O167" s="48">
        <f>Nyborg!K168</f>
        <v>-10000</v>
      </c>
      <c r="P167" s="48">
        <f>Nordfyn!K168</f>
        <v>-74459.509999999995</v>
      </c>
      <c r="Q167" s="48">
        <f>Kerteminde!K168</f>
        <v>-30000</v>
      </c>
      <c r="R167" s="48">
        <f>'Særlige tilskud'!K168</f>
        <v>0</v>
      </c>
    </row>
    <row r="168" spans="1:18" x14ac:dyDescent="0.25">
      <c r="A168" s="42" t="s">
        <v>282</v>
      </c>
      <c r="B168" s="42" t="s">
        <v>283</v>
      </c>
      <c r="C168" s="45">
        <v>-944196.49</v>
      </c>
      <c r="D168" s="45">
        <v>-2200000</v>
      </c>
      <c r="E168" s="45">
        <v>57.08</v>
      </c>
      <c r="F168" s="45">
        <v>42.92</v>
      </c>
      <c r="G168" s="45">
        <v>-1255803.51</v>
      </c>
      <c r="H168" s="48">
        <v>-2600000</v>
      </c>
      <c r="I168" s="48">
        <f t="shared" si="2"/>
        <v>-2200000</v>
      </c>
      <c r="K168" s="48">
        <f>'Fælles adm.'!K169</f>
        <v>-2200000</v>
      </c>
      <c r="L168" s="48">
        <f>Odense!K169</f>
        <v>0</v>
      </c>
      <c r="M168" s="48">
        <f>Laks!K169</f>
        <v>0</v>
      </c>
      <c r="N168" s="48">
        <f>Assens!K169</f>
        <v>0</v>
      </c>
      <c r="O168" s="48">
        <f>Nyborg!K169</f>
        <v>0</v>
      </c>
      <c r="P168" s="48">
        <f>Nordfyn!K169</f>
        <v>0</v>
      </c>
      <c r="Q168" s="48">
        <f>Kerteminde!K169</f>
        <v>0</v>
      </c>
      <c r="R168" s="48">
        <f>'Særlige tilskud'!K169</f>
        <v>0</v>
      </c>
    </row>
    <row r="169" spans="1:18" x14ac:dyDescent="0.25">
      <c r="A169" s="42" t="s">
        <v>284</v>
      </c>
      <c r="B169" s="42" t="s">
        <v>285</v>
      </c>
      <c r="C169" s="45">
        <v>-109624.75</v>
      </c>
      <c r="D169" s="45">
        <v>-350000</v>
      </c>
      <c r="E169" s="45">
        <v>68.680000000000007</v>
      </c>
      <c r="F169" s="45">
        <v>31.32</v>
      </c>
      <c r="G169" s="45">
        <v>-240375.25</v>
      </c>
      <c r="H169" s="48">
        <v>-350000</v>
      </c>
      <c r="I169" s="48">
        <f t="shared" si="2"/>
        <v>-300000</v>
      </c>
      <c r="K169" s="48">
        <f>'Fælles adm.'!K170</f>
        <v>-300000</v>
      </c>
      <c r="L169" s="48">
        <f>Odense!K170</f>
        <v>0</v>
      </c>
      <c r="M169" s="48">
        <f>Laks!K170</f>
        <v>0</v>
      </c>
      <c r="N169" s="48">
        <f>Assens!K170</f>
        <v>0</v>
      </c>
      <c r="O169" s="48">
        <f>Nyborg!K170</f>
        <v>0</v>
      </c>
      <c r="P169" s="48">
        <f>Nordfyn!K170</f>
        <v>0</v>
      </c>
      <c r="Q169" s="48">
        <f>Kerteminde!K170</f>
        <v>0</v>
      </c>
      <c r="R169" s="48">
        <f>'Særlige tilskud'!K170</f>
        <v>0</v>
      </c>
    </row>
    <row r="170" spans="1:18" x14ac:dyDescent="0.25">
      <c r="A170" s="42" t="s">
        <v>286</v>
      </c>
      <c r="B170" s="42" t="s">
        <v>287</v>
      </c>
      <c r="C170" s="45">
        <v>-38500</v>
      </c>
      <c r="D170" s="45">
        <v>-50000</v>
      </c>
      <c r="E170" s="45">
        <v>23</v>
      </c>
      <c r="F170" s="45">
        <v>77</v>
      </c>
      <c r="G170" s="45">
        <v>-11500</v>
      </c>
      <c r="H170" s="48">
        <v>-100000</v>
      </c>
      <c r="I170" s="48">
        <f t="shared" si="2"/>
        <v>-100000</v>
      </c>
      <c r="K170" s="48">
        <f>'Fælles adm.'!K171</f>
        <v>-100000</v>
      </c>
      <c r="L170" s="48">
        <f>Odense!K171</f>
        <v>0</v>
      </c>
      <c r="M170" s="48">
        <f>Laks!K171</f>
        <v>0</v>
      </c>
      <c r="N170" s="48">
        <f>Assens!K171</f>
        <v>0</v>
      </c>
      <c r="O170" s="48">
        <f>Nyborg!K171</f>
        <v>0</v>
      </c>
      <c r="P170" s="48">
        <f>Nordfyn!K171</f>
        <v>0</v>
      </c>
      <c r="Q170" s="48">
        <f>Kerteminde!K171</f>
        <v>0</v>
      </c>
      <c r="R170" s="48">
        <f>'Særlige tilskud'!K171</f>
        <v>0</v>
      </c>
    </row>
    <row r="171" spans="1:18" x14ac:dyDescent="0.25">
      <c r="A171" s="42" t="s">
        <v>288</v>
      </c>
      <c r="B171" s="42" t="s">
        <v>289</v>
      </c>
      <c r="C171" s="45">
        <v>-231872.5</v>
      </c>
      <c r="D171" s="45">
        <v>-296956.57</v>
      </c>
      <c r="E171" s="45">
        <v>21.92</v>
      </c>
      <c r="F171" s="45">
        <v>78.08</v>
      </c>
      <c r="G171" s="45">
        <v>-65084.07</v>
      </c>
      <c r="H171" s="48">
        <v>-800412.07000000007</v>
      </c>
      <c r="I171" s="48">
        <f t="shared" si="2"/>
        <v>-240900</v>
      </c>
      <c r="K171" s="48">
        <f>'Fælles adm.'!K172</f>
        <v>-200000</v>
      </c>
      <c r="L171" s="48">
        <f>Odense!K172</f>
        <v>-25000</v>
      </c>
      <c r="M171" s="48">
        <f>Laks!K172</f>
        <v>-15900</v>
      </c>
      <c r="N171" s="48">
        <f>Assens!K172</f>
        <v>0</v>
      </c>
      <c r="O171" s="48">
        <f>Nyborg!K172</f>
        <v>0</v>
      </c>
      <c r="P171" s="48">
        <f>Nordfyn!K172</f>
        <v>0</v>
      </c>
      <c r="Q171" s="48">
        <f>Kerteminde!K172</f>
        <v>0</v>
      </c>
      <c r="R171" s="48">
        <f>'Særlige tilskud'!K172</f>
        <v>0</v>
      </c>
    </row>
    <row r="172" spans="1:18" x14ac:dyDescent="0.25">
      <c r="A172" s="42" t="s">
        <v>290</v>
      </c>
      <c r="B172" s="42" t="s">
        <v>291</v>
      </c>
      <c r="C172" s="45">
        <v>-6644.8</v>
      </c>
      <c r="D172" s="45">
        <v>-72000</v>
      </c>
      <c r="E172" s="45">
        <v>90.77</v>
      </c>
      <c r="F172" s="45">
        <v>9.23</v>
      </c>
      <c r="G172" s="45">
        <v>-65355.199999999997</v>
      </c>
      <c r="H172" s="48">
        <v>-72000</v>
      </c>
      <c r="I172" s="48">
        <f t="shared" si="2"/>
        <v>-72000</v>
      </c>
      <c r="K172" s="48">
        <f>'Fælles adm.'!K173</f>
        <v>0</v>
      </c>
      <c r="L172" s="48">
        <f>Odense!K173</f>
        <v>-11000</v>
      </c>
      <c r="M172" s="48">
        <f>Laks!K173</f>
        <v>0</v>
      </c>
      <c r="N172" s="48">
        <f>Assens!K173</f>
        <v>-15000</v>
      </c>
      <c r="O172" s="48">
        <f>Nyborg!K173</f>
        <v>-10000</v>
      </c>
      <c r="P172" s="48">
        <f>Nordfyn!K173</f>
        <v>-20000</v>
      </c>
      <c r="Q172" s="48">
        <f>Kerteminde!K173</f>
        <v>-16000</v>
      </c>
      <c r="R172" s="48">
        <f>'Særlige tilskud'!K173</f>
        <v>0</v>
      </c>
    </row>
    <row r="173" spans="1:18" x14ac:dyDescent="0.25">
      <c r="A173" s="42" t="s">
        <v>292</v>
      </c>
      <c r="B173" s="42" t="s">
        <v>293</v>
      </c>
      <c r="C173" s="45">
        <v>-101017.71</v>
      </c>
      <c r="D173" s="45">
        <v>-270787.61</v>
      </c>
      <c r="E173" s="45">
        <v>62.69</v>
      </c>
      <c r="F173" s="45">
        <v>37.31</v>
      </c>
      <c r="G173" s="45">
        <v>-169769.9</v>
      </c>
      <c r="H173" s="48">
        <v>-282723.86</v>
      </c>
      <c r="I173" s="48">
        <f t="shared" si="2"/>
        <v>-553600</v>
      </c>
      <c r="K173" s="48">
        <f>'Fælles adm.'!K174</f>
        <v>-291800</v>
      </c>
      <c r="L173" s="48">
        <f>Odense!K174</f>
        <v>-80000</v>
      </c>
      <c r="M173" s="48">
        <f>Laks!K174</f>
        <v>-15000</v>
      </c>
      <c r="N173" s="48">
        <f>Assens!K174</f>
        <v>-52000</v>
      </c>
      <c r="O173" s="48">
        <f>Nyborg!K174</f>
        <v>-20000</v>
      </c>
      <c r="P173" s="48">
        <f>Nordfyn!K174</f>
        <v>-52800</v>
      </c>
      <c r="Q173" s="48">
        <f>Kerteminde!K174</f>
        <v>-42000</v>
      </c>
      <c r="R173" s="48">
        <f>'Særlige tilskud'!K174</f>
        <v>0</v>
      </c>
    </row>
    <row r="174" spans="1:18" x14ac:dyDescent="0.25">
      <c r="A174" s="42" t="s">
        <v>294</v>
      </c>
      <c r="B174" s="42" t="s">
        <v>295</v>
      </c>
      <c r="C174" s="45">
        <v>-2147078.29</v>
      </c>
      <c r="D174" s="45">
        <v>-238558.88</v>
      </c>
      <c r="E174" s="45">
        <v>-800.02</v>
      </c>
      <c r="F174" s="45">
        <v>900.02</v>
      </c>
      <c r="G174" s="45">
        <v>1908519.41</v>
      </c>
      <c r="H174" s="48">
        <v>-1307984.17</v>
      </c>
      <c r="I174" s="48">
        <f t="shared" si="2"/>
        <v>-200000</v>
      </c>
      <c r="K174" s="48">
        <f>'Fælles adm.'!K175</f>
        <v>-200000</v>
      </c>
      <c r="L174" s="48">
        <f>Odense!K175</f>
        <v>0</v>
      </c>
      <c r="M174" s="48">
        <f>Laks!K175</f>
        <v>0</v>
      </c>
      <c r="N174" s="48">
        <f>Assens!K175</f>
        <v>0</v>
      </c>
      <c r="O174" s="48">
        <f>Nyborg!K175</f>
        <v>0</v>
      </c>
      <c r="P174" s="48">
        <f>Nordfyn!K175</f>
        <v>0</v>
      </c>
      <c r="Q174" s="48">
        <f>Kerteminde!K175</f>
        <v>0</v>
      </c>
      <c r="R174" s="48">
        <f>'Særlige tilskud'!K175</f>
        <v>0</v>
      </c>
    </row>
    <row r="175" spans="1:18" x14ac:dyDescent="0.25">
      <c r="A175" s="42" t="s">
        <v>296</v>
      </c>
      <c r="B175" s="42" t="s">
        <v>297</v>
      </c>
      <c r="C175" s="45">
        <v>-21284.19</v>
      </c>
      <c r="D175" s="45">
        <v>-64200</v>
      </c>
      <c r="E175" s="45">
        <v>66.849999999999994</v>
      </c>
      <c r="F175" s="45">
        <v>33.15</v>
      </c>
      <c r="G175" s="45">
        <v>-42915.81</v>
      </c>
      <c r="H175" s="48">
        <v>-64300</v>
      </c>
      <c r="I175" s="48">
        <f t="shared" si="2"/>
        <v>-34300</v>
      </c>
      <c r="K175" s="48">
        <f>'Fælles adm.'!K176</f>
        <v>-20000</v>
      </c>
      <c r="L175" s="48">
        <f>Odense!K176</f>
        <v>-6000</v>
      </c>
      <c r="M175" s="48">
        <f>Laks!K176</f>
        <v>-100</v>
      </c>
      <c r="N175" s="48">
        <f>Assens!K176</f>
        <v>-1200</v>
      </c>
      <c r="O175" s="48">
        <f>Nyborg!K176</f>
        <v>-1000</v>
      </c>
      <c r="P175" s="48">
        <f>Nordfyn!K176</f>
        <v>-3000</v>
      </c>
      <c r="Q175" s="48">
        <f>Kerteminde!K176</f>
        <v>-3000</v>
      </c>
      <c r="R175" s="48">
        <f>'Særlige tilskud'!K176</f>
        <v>0</v>
      </c>
    </row>
    <row r="176" spans="1:18" x14ac:dyDescent="0.25">
      <c r="A176" s="42" t="s">
        <v>298</v>
      </c>
      <c r="B176" s="42" t="s">
        <v>299</v>
      </c>
      <c r="C176" s="45">
        <v>-510707.83</v>
      </c>
      <c r="D176" s="45">
        <v>-1222000</v>
      </c>
      <c r="E176" s="45">
        <v>58.21</v>
      </c>
      <c r="F176" s="45">
        <v>41.79</v>
      </c>
      <c r="G176" s="45">
        <v>-711292.17</v>
      </c>
      <c r="H176" s="48">
        <v>-1222477.28</v>
      </c>
      <c r="I176" s="48">
        <f t="shared" si="2"/>
        <v>-1222000</v>
      </c>
      <c r="K176" s="48">
        <f>'Fælles adm.'!K177</f>
        <v>0</v>
      </c>
      <c r="L176" s="48">
        <f>Odense!K177</f>
        <v>-400000</v>
      </c>
      <c r="M176" s="48">
        <f>Laks!K177</f>
        <v>0</v>
      </c>
      <c r="N176" s="48">
        <f>Assens!K177</f>
        <v>-250000</v>
      </c>
      <c r="O176" s="48">
        <f>Nyborg!K177</f>
        <v>-140000</v>
      </c>
      <c r="P176" s="48">
        <f>Nordfyn!K177</f>
        <v>-350000</v>
      </c>
      <c r="Q176" s="48">
        <f>Kerteminde!K177</f>
        <v>-82000</v>
      </c>
      <c r="R176" s="48">
        <f>'Særlige tilskud'!K177</f>
        <v>0</v>
      </c>
    </row>
    <row r="177" spans="1:18" x14ac:dyDescent="0.25">
      <c r="A177" s="42" t="s">
        <v>300</v>
      </c>
      <c r="B177" s="42" t="s">
        <v>301</v>
      </c>
      <c r="C177" s="45">
        <v>-272512.19</v>
      </c>
      <c r="D177" s="45">
        <v>-96619</v>
      </c>
      <c r="E177" s="45">
        <v>-182.05</v>
      </c>
      <c r="F177" s="45">
        <v>282.05</v>
      </c>
      <c r="G177" s="45">
        <v>175893.19</v>
      </c>
      <c r="H177" s="48">
        <v>-284131.19</v>
      </c>
      <c r="I177" s="48">
        <f t="shared" si="2"/>
        <v>-339482.96</v>
      </c>
      <c r="K177" s="48">
        <f>'Fælles adm.'!K178</f>
        <v>-290000</v>
      </c>
      <c r="L177" s="48">
        <f>Odense!K178</f>
        <v>-10157.959999999999</v>
      </c>
      <c r="M177" s="48">
        <f>Laks!K178</f>
        <v>-14619</v>
      </c>
      <c r="N177" s="48">
        <f>Assens!K178</f>
        <v>-15000</v>
      </c>
      <c r="O177" s="48">
        <f>Nyborg!K178</f>
        <v>-4000</v>
      </c>
      <c r="P177" s="48">
        <f>Nordfyn!K178</f>
        <v>-5706</v>
      </c>
      <c r="Q177" s="48">
        <f>Kerteminde!K178</f>
        <v>0</v>
      </c>
      <c r="R177" s="48">
        <f>'Særlige tilskud'!K178</f>
        <v>0</v>
      </c>
    </row>
    <row r="178" spans="1:18" x14ac:dyDescent="0.25">
      <c r="A178" s="42" t="s">
        <v>302</v>
      </c>
      <c r="B178" s="42" t="s">
        <v>303</v>
      </c>
      <c r="C178" s="45">
        <v>-21386.720000000001</v>
      </c>
      <c r="D178" s="45">
        <v>-68000</v>
      </c>
      <c r="E178" s="45">
        <v>68.55</v>
      </c>
      <c r="F178" s="45">
        <v>31.45</v>
      </c>
      <c r="G178" s="45">
        <v>-46613.279999999999</v>
      </c>
      <c r="H178" s="48">
        <v>-74635.94</v>
      </c>
      <c r="I178" s="48">
        <f t="shared" si="2"/>
        <v>-68551</v>
      </c>
      <c r="K178" s="48">
        <f>'Fælles adm.'!K179</f>
        <v>-20000</v>
      </c>
      <c r="L178" s="48">
        <f>Odense!K179</f>
        <v>-15000</v>
      </c>
      <c r="M178" s="48">
        <f>Laks!K179</f>
        <v>-551</v>
      </c>
      <c r="N178" s="48">
        <f>Assens!K179</f>
        <v>-10000</v>
      </c>
      <c r="O178" s="48">
        <f>Nyborg!K179</f>
        <v>0</v>
      </c>
      <c r="P178" s="48">
        <f>Nordfyn!K179</f>
        <v>-5000</v>
      </c>
      <c r="Q178" s="48">
        <f>Kerteminde!K179</f>
        <v>-18000</v>
      </c>
      <c r="R178" s="48">
        <f>'Særlige tilskud'!K179</f>
        <v>0</v>
      </c>
    </row>
    <row r="179" spans="1:18" x14ac:dyDescent="0.25">
      <c r="A179" s="42" t="s">
        <v>304</v>
      </c>
      <c r="B179" s="42" t="s">
        <v>305</v>
      </c>
      <c r="D179" s="45">
        <v>-90000</v>
      </c>
      <c r="E179" s="45">
        <v>100</v>
      </c>
      <c r="G179" s="45">
        <v>-90000</v>
      </c>
      <c r="H179" s="48">
        <v>-45000</v>
      </c>
      <c r="I179" s="48">
        <f t="shared" si="2"/>
        <v>-45000</v>
      </c>
      <c r="K179" s="48">
        <f>'Fælles adm.'!K180</f>
        <v>-20000</v>
      </c>
      <c r="L179" s="48">
        <f>Odense!K180</f>
        <v>-5000</v>
      </c>
      <c r="M179" s="48">
        <f>Laks!K180</f>
        <v>0</v>
      </c>
      <c r="N179" s="48">
        <f>Assens!K180</f>
        <v>-5000</v>
      </c>
      <c r="O179" s="48">
        <f>Nyborg!K180</f>
        <v>-5000</v>
      </c>
      <c r="P179" s="48">
        <f>Nordfyn!K180</f>
        <v>-5000</v>
      </c>
      <c r="Q179" s="48">
        <f>Kerteminde!K180</f>
        <v>-5000</v>
      </c>
      <c r="R179" s="48">
        <f>'Særlige tilskud'!K180</f>
        <v>0</v>
      </c>
    </row>
    <row r="180" spans="1:18" x14ac:dyDescent="0.25">
      <c r="A180" s="42" t="s">
        <v>306</v>
      </c>
      <c r="B180" s="42" t="s">
        <v>307</v>
      </c>
      <c r="C180" s="45">
        <v>-157927.48000000001</v>
      </c>
      <c r="D180" s="45">
        <v>-165000</v>
      </c>
      <c r="E180" s="45">
        <v>4.29</v>
      </c>
      <c r="F180" s="45">
        <v>95.71</v>
      </c>
      <c r="G180" s="45">
        <v>-7072.52</v>
      </c>
      <c r="H180" s="48">
        <v>-265000</v>
      </c>
      <c r="I180" s="48">
        <f t="shared" si="2"/>
        <v>-265000</v>
      </c>
      <c r="K180" s="48">
        <f>'Fælles adm.'!K181</f>
        <v>0</v>
      </c>
      <c r="L180" s="48">
        <f>Odense!K181</f>
        <v>-200000</v>
      </c>
      <c r="M180" s="48">
        <f>Laks!K181</f>
        <v>-10000</v>
      </c>
      <c r="N180" s="48">
        <f>Assens!K181</f>
        <v>-15000</v>
      </c>
      <c r="O180" s="48">
        <f>Nyborg!K181</f>
        <v>0</v>
      </c>
      <c r="P180" s="48">
        <f>Nordfyn!K181</f>
        <v>-10000</v>
      </c>
      <c r="Q180" s="48">
        <f>Kerteminde!K181</f>
        <v>-30000</v>
      </c>
      <c r="R180" s="48">
        <f>'Særlige tilskud'!K181</f>
        <v>0</v>
      </c>
    </row>
    <row r="181" spans="1:18" x14ac:dyDescent="0.25">
      <c r="A181" s="42" t="s">
        <v>308</v>
      </c>
      <c r="B181" s="42" t="s">
        <v>309</v>
      </c>
      <c r="C181" s="45">
        <v>28225.93</v>
      </c>
      <c r="D181" s="45">
        <v>-960000</v>
      </c>
      <c r="E181" s="45">
        <v>102.94</v>
      </c>
      <c r="F181" s="45">
        <v>-2.94</v>
      </c>
      <c r="G181" s="45">
        <v>-988225.93</v>
      </c>
      <c r="H181" s="48">
        <v>-709736.15</v>
      </c>
      <c r="I181" s="48">
        <f t="shared" si="2"/>
        <v>-490000</v>
      </c>
      <c r="K181" s="48">
        <f>'Fælles adm.'!K182</f>
        <v>-200000</v>
      </c>
      <c r="L181" s="48">
        <f>Odense!K182</f>
        <v>-80000</v>
      </c>
      <c r="M181" s="48">
        <f>Laks!K182</f>
        <v>-100000</v>
      </c>
      <c r="N181" s="48">
        <f>Assens!K182</f>
        <v>-20000</v>
      </c>
      <c r="O181" s="48">
        <f>Nyborg!K182</f>
        <v>-20000</v>
      </c>
      <c r="P181" s="48">
        <f>Nordfyn!K182</f>
        <v>-50000</v>
      </c>
      <c r="Q181" s="48">
        <f>Kerteminde!K182</f>
        <v>-20000</v>
      </c>
      <c r="R181" s="48">
        <f>'Særlige tilskud'!K182</f>
        <v>0</v>
      </c>
    </row>
    <row r="182" spans="1:18" x14ac:dyDescent="0.25">
      <c r="A182" s="42" t="s">
        <v>310</v>
      </c>
      <c r="B182" s="42" t="s">
        <v>311</v>
      </c>
      <c r="C182" s="45">
        <v>-1902</v>
      </c>
      <c r="D182" s="45">
        <v>-5100</v>
      </c>
      <c r="E182" s="45">
        <v>62.71</v>
      </c>
      <c r="F182" s="45">
        <v>37.29</v>
      </c>
      <c r="G182" s="45">
        <v>-3198</v>
      </c>
      <c r="H182" s="48">
        <v>-6456</v>
      </c>
      <c r="I182" s="48">
        <f t="shared" si="2"/>
        <v>-5500</v>
      </c>
      <c r="K182" s="48">
        <f>'Fælles adm.'!K183</f>
        <v>-500</v>
      </c>
      <c r="L182" s="48">
        <f>Odense!K183</f>
        <v>0</v>
      </c>
      <c r="M182" s="48">
        <f>Laks!K183</f>
        <v>0</v>
      </c>
      <c r="N182" s="48">
        <f>Assens!K183</f>
        <v>-5000</v>
      </c>
      <c r="O182" s="48">
        <f>Nyborg!K183</f>
        <v>0</v>
      </c>
      <c r="P182" s="48">
        <f>Nordfyn!K183</f>
        <v>0</v>
      </c>
      <c r="Q182" s="48">
        <f>Kerteminde!K183</f>
        <v>0</v>
      </c>
      <c r="R182" s="48">
        <f>'Særlige tilskud'!K183</f>
        <v>0</v>
      </c>
    </row>
    <row r="183" spans="1:18" x14ac:dyDescent="0.25">
      <c r="A183" s="42" t="s">
        <v>312</v>
      </c>
      <c r="B183" s="42" t="s">
        <v>313</v>
      </c>
      <c r="C183" s="45">
        <v>-122788.16</v>
      </c>
      <c r="D183" s="45">
        <v>-340000.02</v>
      </c>
      <c r="E183" s="45">
        <v>63.89</v>
      </c>
      <c r="F183" s="45">
        <v>36.11</v>
      </c>
      <c r="G183" s="45">
        <v>-217211.86</v>
      </c>
      <c r="H183" s="48">
        <v>-326660.09999999998</v>
      </c>
      <c r="I183" s="48">
        <f t="shared" si="2"/>
        <v>-328166.67000000004</v>
      </c>
      <c r="K183" s="48">
        <f>'Fælles adm.'!K184</f>
        <v>-15000</v>
      </c>
      <c r="L183" s="48">
        <f>Odense!K184</f>
        <v>-145166.67000000001</v>
      </c>
      <c r="M183" s="48">
        <f>Laks!K184</f>
        <v>0</v>
      </c>
      <c r="N183" s="48">
        <f>Assens!K184</f>
        <v>-32000</v>
      </c>
      <c r="O183" s="48">
        <f>Nyborg!K184</f>
        <v>-43666.67</v>
      </c>
      <c r="P183" s="48">
        <f>Nordfyn!K184</f>
        <v>-51333.33</v>
      </c>
      <c r="Q183" s="48">
        <f>Kerteminde!K184</f>
        <v>-41000</v>
      </c>
      <c r="R183" s="48">
        <f>'Særlige tilskud'!K184</f>
        <v>0</v>
      </c>
    </row>
    <row r="184" spans="1:18" x14ac:dyDescent="0.25">
      <c r="A184" s="42" t="s">
        <v>314</v>
      </c>
      <c r="B184" s="42" t="s">
        <v>315</v>
      </c>
      <c r="C184" s="45">
        <v>-53954.52</v>
      </c>
      <c r="D184" s="45">
        <v>-263500</v>
      </c>
      <c r="E184" s="45">
        <v>79.52</v>
      </c>
      <c r="F184" s="45">
        <v>20.48</v>
      </c>
      <c r="G184" s="45">
        <v>-209545.48</v>
      </c>
      <c r="H184" s="48">
        <v>-268000</v>
      </c>
      <c r="I184" s="48">
        <f t="shared" si="2"/>
        <v>-229500</v>
      </c>
      <c r="K184" s="48">
        <f>'Fælles adm.'!K185</f>
        <v>-4500</v>
      </c>
      <c r="L184" s="48">
        <f>Odense!K185</f>
        <v>-75000</v>
      </c>
      <c r="M184" s="48">
        <f>Laks!K185</f>
        <v>-20000</v>
      </c>
      <c r="N184" s="48">
        <f>Assens!K185</f>
        <v>-20000</v>
      </c>
      <c r="O184" s="48">
        <f>Nyborg!K185</f>
        <v>-25000</v>
      </c>
      <c r="P184" s="48">
        <f>Nordfyn!K185</f>
        <v>-60000</v>
      </c>
      <c r="Q184" s="48">
        <f>Kerteminde!K185</f>
        <v>-25000</v>
      </c>
      <c r="R184" s="48">
        <f>'Særlige tilskud'!K185</f>
        <v>0</v>
      </c>
    </row>
    <row r="185" spans="1:18" x14ac:dyDescent="0.25">
      <c r="A185" s="42" t="s">
        <v>316</v>
      </c>
      <c r="B185" s="42" t="s">
        <v>317</v>
      </c>
      <c r="C185" s="45">
        <v>-27715.03</v>
      </c>
      <c r="D185" s="45">
        <v>-117000</v>
      </c>
      <c r="E185" s="45">
        <v>76.31</v>
      </c>
      <c r="F185" s="45">
        <v>23.69</v>
      </c>
      <c r="G185" s="45">
        <v>-89284.97</v>
      </c>
      <c r="H185" s="48">
        <v>-117000</v>
      </c>
      <c r="I185" s="48">
        <f t="shared" si="2"/>
        <v>-107000</v>
      </c>
      <c r="K185" s="48">
        <f>'Fælles adm.'!K186</f>
        <v>-10000</v>
      </c>
      <c r="L185" s="48">
        <f>Odense!K186</f>
        <v>-40000</v>
      </c>
      <c r="M185" s="48">
        <f>Laks!K186</f>
        <v>0</v>
      </c>
      <c r="N185" s="48">
        <f>Assens!K186</f>
        <v>-15000</v>
      </c>
      <c r="O185" s="48">
        <f>Nyborg!K186</f>
        <v>-15000</v>
      </c>
      <c r="P185" s="48">
        <f>Nordfyn!K186</f>
        <v>-15000</v>
      </c>
      <c r="Q185" s="48">
        <f>Kerteminde!K186</f>
        <v>-12000</v>
      </c>
      <c r="R185" s="48">
        <f>'Særlige tilskud'!K186</f>
        <v>0</v>
      </c>
    </row>
    <row r="186" spans="1:18" x14ac:dyDescent="0.25">
      <c r="A186" s="42" t="s">
        <v>318</v>
      </c>
      <c r="B186" s="42" t="s">
        <v>319</v>
      </c>
      <c r="C186" s="45">
        <v>-123297.54</v>
      </c>
      <c r="D186" s="45">
        <v>-1190688</v>
      </c>
      <c r="E186" s="45">
        <v>89.64</v>
      </c>
      <c r="F186" s="45">
        <v>10.36</v>
      </c>
      <c r="G186" s="45">
        <v>-1067390.46</v>
      </c>
      <c r="H186" s="48">
        <v>-1190688</v>
      </c>
      <c r="I186" s="48">
        <f t="shared" si="2"/>
        <v>-680000</v>
      </c>
      <c r="K186" s="48">
        <f>'Fælles adm.'!K187</f>
        <v>-100000</v>
      </c>
      <c r="L186" s="48">
        <f>Odense!K187</f>
        <v>-250000</v>
      </c>
      <c r="M186" s="48">
        <f>Laks!K187</f>
        <v>-10000</v>
      </c>
      <c r="N186" s="48">
        <f>Assens!K187</f>
        <v>-50000</v>
      </c>
      <c r="O186" s="48">
        <f>Nyborg!K187</f>
        <v>-50000</v>
      </c>
      <c r="P186" s="48">
        <f>Nordfyn!K187</f>
        <v>-120000</v>
      </c>
      <c r="Q186" s="48">
        <f>Kerteminde!K187</f>
        <v>-100000</v>
      </c>
      <c r="R186" s="48">
        <f>'Særlige tilskud'!K187</f>
        <v>0</v>
      </c>
    </row>
    <row r="187" spans="1:18" x14ac:dyDescent="0.25">
      <c r="A187" s="42" t="s">
        <v>320</v>
      </c>
      <c r="B187" s="42" t="s">
        <v>321</v>
      </c>
      <c r="C187" s="45">
        <v>-32538.06</v>
      </c>
      <c r="D187" s="45">
        <v>-271999.99</v>
      </c>
      <c r="E187" s="45">
        <v>88.04</v>
      </c>
      <c r="F187" s="45">
        <v>11.96</v>
      </c>
      <c r="G187" s="45">
        <v>-239461.93</v>
      </c>
      <c r="H187" s="48">
        <v>-272313.95</v>
      </c>
      <c r="I187" s="48">
        <f t="shared" si="2"/>
        <v>-226538.66999999998</v>
      </c>
      <c r="K187" s="48">
        <f>'Fælles adm.'!K188</f>
        <v>0</v>
      </c>
      <c r="L187" s="48">
        <f>Odense!K188</f>
        <v>-80500</v>
      </c>
      <c r="M187" s="48">
        <f>Laks!K188</f>
        <v>-172</v>
      </c>
      <c r="N187" s="48">
        <f>Assens!K188</f>
        <v>-40000</v>
      </c>
      <c r="O187" s="48">
        <f>Nyborg!K188</f>
        <v>-32000</v>
      </c>
      <c r="P187" s="48">
        <f>Nordfyn!K188</f>
        <v>-41066.67</v>
      </c>
      <c r="Q187" s="48">
        <f>Kerteminde!K188</f>
        <v>-32800</v>
      </c>
      <c r="R187" s="48">
        <f>'Særlige tilskud'!K188</f>
        <v>0</v>
      </c>
    </row>
    <row r="188" spans="1:18" x14ac:dyDescent="0.25">
      <c r="A188" s="42" t="s">
        <v>322</v>
      </c>
      <c r="B188" s="42" t="s">
        <v>323</v>
      </c>
      <c r="C188" s="45">
        <v>-1183182.6100000001</v>
      </c>
      <c r="D188" s="45">
        <v>-4683700</v>
      </c>
      <c r="E188" s="45">
        <v>74.739999999999995</v>
      </c>
      <c r="F188" s="45">
        <v>25.26</v>
      </c>
      <c r="G188" s="45">
        <v>-3500517.39</v>
      </c>
      <c r="H188" s="48">
        <v>-4683700</v>
      </c>
      <c r="I188" s="48">
        <f t="shared" si="2"/>
        <v>-4125000</v>
      </c>
      <c r="K188" s="48">
        <f>'Fælles adm.'!K189</f>
        <v>0</v>
      </c>
      <c r="L188" s="48">
        <f>Odense!K189</f>
        <v>-1500000</v>
      </c>
      <c r="M188" s="48">
        <f>Laks!K189</f>
        <v>-600000</v>
      </c>
      <c r="N188" s="48">
        <f>Assens!K189</f>
        <v>-500000</v>
      </c>
      <c r="O188" s="48">
        <f>Nyborg!K189</f>
        <v>-500000</v>
      </c>
      <c r="P188" s="48">
        <f>Nordfyn!K189</f>
        <v>-425000</v>
      </c>
      <c r="Q188" s="48">
        <f>Kerteminde!K189</f>
        <v>-600000</v>
      </c>
      <c r="R188" s="48">
        <f>'Særlige tilskud'!K189</f>
        <v>0</v>
      </c>
    </row>
    <row r="189" spans="1:18" x14ac:dyDescent="0.25">
      <c r="A189" s="42" t="s">
        <v>324</v>
      </c>
      <c r="B189" s="42" t="s">
        <v>325</v>
      </c>
      <c r="C189" s="45">
        <v>-7842</v>
      </c>
      <c r="G189" s="45">
        <v>7842</v>
      </c>
      <c r="H189" s="48">
        <v>-7842</v>
      </c>
      <c r="I189" s="48">
        <f t="shared" si="2"/>
        <v>-6960</v>
      </c>
      <c r="K189" s="48">
        <f>'Fælles adm.'!K190</f>
        <v>0</v>
      </c>
      <c r="L189" s="48">
        <f>Odense!K190</f>
        <v>-6960</v>
      </c>
      <c r="M189" s="48">
        <f>Laks!K190</f>
        <v>0</v>
      </c>
      <c r="N189" s="48">
        <f>Assens!K190</f>
        <v>0</v>
      </c>
      <c r="O189" s="48">
        <f>Nyborg!K190</f>
        <v>0</v>
      </c>
      <c r="P189" s="48">
        <f>Nordfyn!K190</f>
        <v>0</v>
      </c>
      <c r="Q189" s="48">
        <f>Kerteminde!K190</f>
        <v>0</v>
      </c>
      <c r="R189" s="48">
        <f>'Særlige tilskud'!K190</f>
        <v>0</v>
      </c>
    </row>
    <row r="190" spans="1:18" x14ac:dyDescent="0.25">
      <c r="A190" s="42" t="s">
        <v>326</v>
      </c>
      <c r="B190" s="42" t="s">
        <v>327</v>
      </c>
      <c r="C190" s="45">
        <v>-98589.34</v>
      </c>
      <c r="D190" s="45">
        <v>-140000</v>
      </c>
      <c r="E190" s="45">
        <v>29.58</v>
      </c>
      <c r="F190" s="45">
        <v>70.42</v>
      </c>
      <c r="G190" s="45">
        <v>-41410.660000000003</v>
      </c>
      <c r="H190" s="48">
        <v>-144030</v>
      </c>
      <c r="I190" s="48">
        <f t="shared" si="2"/>
        <v>-140000</v>
      </c>
      <c r="K190" s="48">
        <f>'Fælles adm.'!K191</f>
        <v>0</v>
      </c>
      <c r="L190" s="48">
        <f>Odense!K191</f>
        <v>0</v>
      </c>
      <c r="M190" s="48">
        <f>Laks!K191</f>
        <v>0</v>
      </c>
      <c r="N190" s="48">
        <f>Assens!K191</f>
        <v>-140000</v>
      </c>
      <c r="O190" s="48">
        <f>Nyborg!K191</f>
        <v>0</v>
      </c>
      <c r="P190" s="48">
        <f>Nordfyn!K191</f>
        <v>0</v>
      </c>
      <c r="Q190" s="48">
        <f>Kerteminde!K191</f>
        <v>0</v>
      </c>
      <c r="R190" s="48">
        <f>'Særlige tilskud'!K191</f>
        <v>0</v>
      </c>
    </row>
    <row r="191" spans="1:18" x14ac:dyDescent="0.25">
      <c r="A191" s="42" t="s">
        <v>328</v>
      </c>
      <c r="B191" s="42" t="s">
        <v>329</v>
      </c>
      <c r="D191" s="45">
        <v>-674000</v>
      </c>
      <c r="E191" s="45">
        <v>100</v>
      </c>
      <c r="G191" s="45">
        <v>-674000</v>
      </c>
      <c r="H191" s="48">
        <v>-674000</v>
      </c>
      <c r="I191" s="48">
        <f t="shared" si="2"/>
        <v>0</v>
      </c>
      <c r="K191" s="48">
        <f>'Fælles adm.'!K192</f>
        <v>0</v>
      </c>
      <c r="L191" s="48">
        <f>Odense!K192</f>
        <v>0</v>
      </c>
      <c r="M191" s="48">
        <f>Laks!K192</f>
        <v>0</v>
      </c>
      <c r="N191" s="48">
        <f>Assens!K192</f>
        <v>0</v>
      </c>
      <c r="O191" s="48">
        <f>Nyborg!K192</f>
        <v>0</v>
      </c>
      <c r="P191" s="48">
        <f>Nordfyn!K192</f>
        <v>0</v>
      </c>
      <c r="Q191" s="48">
        <f>Kerteminde!K192</f>
        <v>0</v>
      </c>
      <c r="R191" s="48">
        <f>'Særlige tilskud'!K192</f>
        <v>0</v>
      </c>
    </row>
    <row r="192" spans="1:18" x14ac:dyDescent="0.25">
      <c r="A192" s="42" t="s">
        <v>330</v>
      </c>
      <c r="B192" s="42" t="s">
        <v>331</v>
      </c>
      <c r="C192" s="45">
        <v>-149461.17000000001</v>
      </c>
      <c r="D192" s="45">
        <v>-570218</v>
      </c>
      <c r="E192" s="45">
        <v>73.790000000000006</v>
      </c>
      <c r="F192" s="45">
        <v>26.21</v>
      </c>
      <c r="G192" s="45">
        <v>-420756.83</v>
      </c>
      <c r="H192" s="48">
        <v>-627632.4</v>
      </c>
      <c r="I192" s="48">
        <f t="shared" si="2"/>
        <v>-640000</v>
      </c>
      <c r="K192" s="48">
        <f>'Fælles adm.'!K193</f>
        <v>0</v>
      </c>
      <c r="L192" s="48">
        <f>Odense!K193</f>
        <v>-200000</v>
      </c>
      <c r="M192" s="48">
        <f>Laks!K193</f>
        <v>-100000</v>
      </c>
      <c r="N192" s="48">
        <f>Assens!K193</f>
        <v>-100000</v>
      </c>
      <c r="O192" s="48">
        <f>Nyborg!K193</f>
        <v>-100000</v>
      </c>
      <c r="P192" s="48">
        <f>Nordfyn!K193</f>
        <v>-100000</v>
      </c>
      <c r="Q192" s="48">
        <f>Kerteminde!K193</f>
        <v>-40000</v>
      </c>
      <c r="R192" s="48">
        <f>'Særlige tilskud'!K193</f>
        <v>0</v>
      </c>
    </row>
    <row r="193" spans="1:18" x14ac:dyDescent="0.25">
      <c r="A193" s="42" t="s">
        <v>332</v>
      </c>
      <c r="B193" s="42" t="s">
        <v>333</v>
      </c>
      <c r="H193" s="48">
        <v>0</v>
      </c>
      <c r="I193" s="48">
        <f t="shared" si="2"/>
        <v>0</v>
      </c>
      <c r="K193" s="48">
        <f>'Fælles adm.'!K194</f>
        <v>0</v>
      </c>
      <c r="L193" s="48">
        <f>Odense!K194</f>
        <v>0</v>
      </c>
      <c r="M193" s="48">
        <f>Laks!K194</f>
        <v>0</v>
      </c>
      <c r="N193" s="48">
        <f>Assens!K194</f>
        <v>0</v>
      </c>
      <c r="O193" s="48">
        <f>Nyborg!K194</f>
        <v>0</v>
      </c>
      <c r="P193" s="48">
        <f>Nordfyn!K194</f>
        <v>0</v>
      </c>
      <c r="Q193" s="48">
        <f>Kerteminde!K194</f>
        <v>0</v>
      </c>
      <c r="R193" s="48">
        <f>'Særlige tilskud'!K194</f>
        <v>0</v>
      </c>
    </row>
    <row r="194" spans="1:18" x14ac:dyDescent="0.25">
      <c r="A194" s="42" t="s">
        <v>334</v>
      </c>
      <c r="B194" s="42" t="s">
        <v>335</v>
      </c>
      <c r="C194" s="45">
        <v>-1.62</v>
      </c>
      <c r="D194" s="45">
        <v>22.49</v>
      </c>
      <c r="E194" s="45">
        <v>107.2</v>
      </c>
      <c r="F194" s="45">
        <v>-7.2</v>
      </c>
      <c r="G194" s="45">
        <v>24.11</v>
      </c>
      <c r="H194" s="48">
        <v>22.49</v>
      </c>
      <c r="I194" s="48">
        <f t="shared" si="2"/>
        <v>-100</v>
      </c>
      <c r="K194" s="48">
        <f>'Fælles adm.'!K195</f>
        <v>-100</v>
      </c>
      <c r="L194" s="48">
        <f>Odense!K195</f>
        <v>0</v>
      </c>
      <c r="M194" s="48">
        <f>Laks!K195</f>
        <v>0</v>
      </c>
      <c r="N194" s="48">
        <f>Assens!K195</f>
        <v>0</v>
      </c>
      <c r="O194" s="48">
        <f>Nyborg!K195</f>
        <v>0</v>
      </c>
      <c r="P194" s="48">
        <f>Nordfyn!K195</f>
        <v>0</v>
      </c>
      <c r="Q194" s="48">
        <f>Kerteminde!K195</f>
        <v>0</v>
      </c>
      <c r="R194" s="48">
        <f>'Særlige tilskud'!K195</f>
        <v>0</v>
      </c>
    </row>
    <row r="195" spans="1:18" x14ac:dyDescent="0.25">
      <c r="A195" s="42" t="s">
        <v>336</v>
      </c>
      <c r="B195" s="42" t="s">
        <v>337</v>
      </c>
      <c r="H195" s="48">
        <v>0</v>
      </c>
      <c r="I195" s="48">
        <f t="shared" si="2"/>
        <v>0</v>
      </c>
      <c r="K195" s="48">
        <f>'Fælles adm.'!K196</f>
        <v>0</v>
      </c>
      <c r="L195" s="48">
        <f>Odense!K196</f>
        <v>0</v>
      </c>
      <c r="M195" s="48">
        <f>Laks!K196</f>
        <v>0</v>
      </c>
      <c r="N195" s="48">
        <f>Assens!K196</f>
        <v>0</v>
      </c>
      <c r="O195" s="48">
        <f>Nyborg!K196</f>
        <v>0</v>
      </c>
      <c r="P195" s="48">
        <f>Nordfyn!K196</f>
        <v>0</v>
      </c>
      <c r="Q195" s="48">
        <f>Kerteminde!K196</f>
        <v>0</v>
      </c>
      <c r="R195" s="48">
        <f>'Særlige tilskud'!K196</f>
        <v>0</v>
      </c>
    </row>
    <row r="196" spans="1:18" x14ac:dyDescent="0.25">
      <c r="A196" s="42" t="s">
        <v>338</v>
      </c>
      <c r="B196" s="42" t="s">
        <v>339</v>
      </c>
      <c r="H196" s="48">
        <v>0</v>
      </c>
      <c r="I196" s="48">
        <f t="shared" si="2"/>
        <v>0</v>
      </c>
      <c r="K196" s="48">
        <f>'Fælles adm.'!K197</f>
        <v>0</v>
      </c>
      <c r="L196" s="48">
        <f>Odense!K197</f>
        <v>0</v>
      </c>
      <c r="M196" s="48">
        <f>Laks!K197</f>
        <v>0</v>
      </c>
      <c r="N196" s="48">
        <f>Assens!K197</f>
        <v>0</v>
      </c>
      <c r="O196" s="48">
        <f>Nyborg!K197</f>
        <v>0</v>
      </c>
      <c r="P196" s="48">
        <f>Nordfyn!K197</f>
        <v>0</v>
      </c>
      <c r="Q196" s="48">
        <f>Kerteminde!K197</f>
        <v>0</v>
      </c>
      <c r="R196" s="48">
        <f>'Særlige tilskud'!K197</f>
        <v>0</v>
      </c>
    </row>
    <row r="197" spans="1:18" x14ac:dyDescent="0.25">
      <c r="A197" s="43" t="s">
        <v>340</v>
      </c>
      <c r="B197" s="43" t="s">
        <v>341</v>
      </c>
      <c r="C197" s="46">
        <v>-9145002.5</v>
      </c>
      <c r="D197" s="46">
        <v>-30277905.449999999</v>
      </c>
      <c r="E197" s="46">
        <v>69.8</v>
      </c>
      <c r="F197" s="46">
        <v>30.2</v>
      </c>
      <c r="G197" s="46">
        <v>-21132902.949999999</v>
      </c>
      <c r="H197" s="5">
        <v>-28864549.32</v>
      </c>
      <c r="I197" s="5">
        <f t="shared" si="2"/>
        <v>-22223885.509999998</v>
      </c>
      <c r="K197" s="5">
        <f>'Fælles adm.'!K198</f>
        <v>1811338.9799999995</v>
      </c>
      <c r="L197" s="5">
        <f>Odense!K198</f>
        <v>-7052573.2872049995</v>
      </c>
      <c r="M197" s="5">
        <f>Laks!K198</f>
        <v>-1404039.5499999998</v>
      </c>
      <c r="N197" s="5">
        <f>Assens!K198</f>
        <v>-2863523.7530049998</v>
      </c>
      <c r="O197" s="5">
        <f>Nyborg!K198</f>
        <v>-2778709.3506029998</v>
      </c>
      <c r="P197" s="5">
        <f>Nordfyn!K198</f>
        <v>-3196683.6267969999</v>
      </c>
      <c r="Q197" s="5">
        <f>Kerteminde!K198</f>
        <v>-2739694.92239</v>
      </c>
      <c r="R197" s="5">
        <f>'Særlige tilskud'!K198</f>
        <v>-4000000</v>
      </c>
    </row>
    <row r="198" spans="1:18" x14ac:dyDescent="0.25">
      <c r="A198" s="42" t="s">
        <v>12</v>
      </c>
      <c r="B198" s="42" t="s">
        <v>12</v>
      </c>
      <c r="H198" s="48"/>
      <c r="I198" s="48">
        <f t="shared" si="2"/>
        <v>0</v>
      </c>
      <c r="K198" s="48">
        <f>'Fælles adm.'!K199</f>
        <v>0</v>
      </c>
      <c r="L198" s="48">
        <f>Odense!K199</f>
        <v>0</v>
      </c>
      <c r="M198" s="48">
        <f>Laks!K199</f>
        <v>0</v>
      </c>
      <c r="N198" s="48">
        <f>Assens!K199</f>
        <v>0</v>
      </c>
      <c r="O198" s="48">
        <f>Nyborg!K199</f>
        <v>0</v>
      </c>
      <c r="P198" s="48">
        <f>Nordfyn!K199</f>
        <v>0</v>
      </c>
      <c r="Q198" s="48">
        <f>Kerteminde!K199</f>
        <v>0</v>
      </c>
      <c r="R198" s="48">
        <f>'Særlige tilskud'!K199</f>
        <v>0</v>
      </c>
    </row>
    <row r="199" spans="1:18" x14ac:dyDescent="0.25">
      <c r="A199" s="43" t="s">
        <v>342</v>
      </c>
      <c r="B199" s="43" t="s">
        <v>343</v>
      </c>
      <c r="C199" s="46"/>
      <c r="D199" s="46"/>
      <c r="E199" s="46"/>
      <c r="F199" s="46"/>
      <c r="G199" s="46"/>
      <c r="H199" s="5"/>
      <c r="I199" s="5">
        <f t="shared" si="2"/>
        <v>0</v>
      </c>
      <c r="K199" s="5">
        <f>'Fælles adm.'!K200</f>
        <v>0</v>
      </c>
      <c r="L199" s="5">
        <f>Odense!K200</f>
        <v>0</v>
      </c>
      <c r="M199" s="5">
        <f>Laks!K200</f>
        <v>0</v>
      </c>
      <c r="N199" s="5">
        <f>Assens!K200</f>
        <v>0</v>
      </c>
      <c r="O199" s="5">
        <f>Nyborg!K200</f>
        <v>0</v>
      </c>
      <c r="P199" s="5">
        <f>Nordfyn!K200</f>
        <v>0</v>
      </c>
      <c r="Q199" s="5">
        <f>Kerteminde!K200</f>
        <v>0</v>
      </c>
      <c r="R199" s="5">
        <f>'Særlige tilskud'!K200</f>
        <v>0</v>
      </c>
    </row>
    <row r="200" spans="1:18" x14ac:dyDescent="0.25">
      <c r="A200" s="42" t="s">
        <v>344</v>
      </c>
      <c r="B200" s="42" t="s">
        <v>345</v>
      </c>
      <c r="H200" s="48">
        <v>0</v>
      </c>
      <c r="I200" s="48">
        <f t="shared" si="2"/>
        <v>0</v>
      </c>
      <c r="K200" s="48">
        <f>'Fælles adm.'!K201</f>
        <v>0</v>
      </c>
      <c r="L200" s="48">
        <f>Odense!K201</f>
        <v>0</v>
      </c>
      <c r="M200" s="48">
        <f>Laks!K201</f>
        <v>0</v>
      </c>
      <c r="N200" s="48">
        <f>Assens!K201</f>
        <v>0</v>
      </c>
      <c r="O200" s="48">
        <f>Nyborg!K201</f>
        <v>0</v>
      </c>
      <c r="P200" s="48">
        <f>Nordfyn!K201</f>
        <v>0</v>
      </c>
      <c r="Q200" s="48">
        <f>Kerteminde!K201</f>
        <v>0</v>
      </c>
      <c r="R200" s="48">
        <f>'Særlige tilskud'!K201</f>
        <v>0</v>
      </c>
    </row>
    <row r="201" spans="1:18" x14ac:dyDescent="0.25">
      <c r="A201" s="42" t="s">
        <v>346</v>
      </c>
      <c r="B201" s="42" t="s">
        <v>347</v>
      </c>
      <c r="H201" s="48">
        <v>0</v>
      </c>
      <c r="I201" s="48">
        <f t="shared" si="2"/>
        <v>0</v>
      </c>
      <c r="K201" s="48">
        <f>'Fælles adm.'!K202</f>
        <v>0</v>
      </c>
      <c r="L201" s="48">
        <f>Odense!K202</f>
        <v>0</v>
      </c>
      <c r="M201" s="48">
        <f>Laks!K202</f>
        <v>0</v>
      </c>
      <c r="N201" s="48">
        <f>Assens!K202</f>
        <v>0</v>
      </c>
      <c r="O201" s="48">
        <f>Nyborg!K202</f>
        <v>0</v>
      </c>
      <c r="P201" s="48">
        <f>Nordfyn!K202</f>
        <v>0</v>
      </c>
      <c r="Q201" s="48">
        <f>Kerteminde!K202</f>
        <v>0</v>
      </c>
      <c r="R201" s="48">
        <f>'Særlige tilskud'!K202</f>
        <v>0</v>
      </c>
    </row>
    <row r="202" spans="1:18" x14ac:dyDescent="0.25">
      <c r="A202" s="42" t="s">
        <v>348</v>
      </c>
      <c r="B202" s="42" t="s">
        <v>349</v>
      </c>
      <c r="D202" s="45">
        <v>42000</v>
      </c>
      <c r="E202" s="45">
        <v>100</v>
      </c>
      <c r="G202" s="45">
        <v>42000</v>
      </c>
      <c r="H202" s="48">
        <v>1000</v>
      </c>
      <c r="I202" s="48">
        <f t="shared" si="2"/>
        <v>0</v>
      </c>
      <c r="K202" s="48">
        <f>'Fælles adm.'!K203</f>
        <v>0</v>
      </c>
      <c r="L202" s="48">
        <f>Odense!K203</f>
        <v>0</v>
      </c>
      <c r="M202" s="48">
        <f>Laks!K203</f>
        <v>0</v>
      </c>
      <c r="N202" s="48">
        <f>Assens!K203</f>
        <v>0</v>
      </c>
      <c r="O202" s="48">
        <f>Nyborg!K203</f>
        <v>0</v>
      </c>
      <c r="P202" s="48">
        <f>Nordfyn!K203</f>
        <v>0</v>
      </c>
      <c r="Q202" s="48">
        <f>Kerteminde!K203</f>
        <v>0</v>
      </c>
      <c r="R202" s="48">
        <f>'Særlige tilskud'!K203</f>
        <v>0</v>
      </c>
    </row>
    <row r="203" spans="1:18" x14ac:dyDescent="0.25">
      <c r="A203" s="42" t="s">
        <v>350</v>
      </c>
      <c r="B203" s="42" t="s">
        <v>351</v>
      </c>
      <c r="H203" s="48">
        <v>0</v>
      </c>
      <c r="I203" s="48">
        <f t="shared" ref="I203:I244" si="3">SUM(K203:R203)</f>
        <v>0</v>
      </c>
      <c r="K203" s="48">
        <f>'Fælles adm.'!K204</f>
        <v>0</v>
      </c>
      <c r="L203" s="48">
        <f>Odense!K204</f>
        <v>0</v>
      </c>
      <c r="M203" s="48">
        <f>Laks!K204</f>
        <v>0</v>
      </c>
      <c r="N203" s="48">
        <f>Assens!K204</f>
        <v>0</v>
      </c>
      <c r="O203" s="48">
        <f>Nyborg!K204</f>
        <v>0</v>
      </c>
      <c r="P203" s="48">
        <f>Nordfyn!K204</f>
        <v>0</v>
      </c>
      <c r="Q203" s="48">
        <f>Kerteminde!K204</f>
        <v>0</v>
      </c>
      <c r="R203" s="48">
        <f>'Særlige tilskud'!K204</f>
        <v>0</v>
      </c>
    </row>
    <row r="204" spans="1:18" x14ac:dyDescent="0.25">
      <c r="A204" s="42" t="s">
        <v>352</v>
      </c>
      <c r="B204" s="42" t="s">
        <v>353</v>
      </c>
      <c r="H204" s="48">
        <v>0</v>
      </c>
      <c r="I204" s="48">
        <f t="shared" si="3"/>
        <v>0</v>
      </c>
      <c r="K204" s="48">
        <f>'Fælles adm.'!K205</f>
        <v>0</v>
      </c>
      <c r="L204" s="48">
        <f>Odense!K205</f>
        <v>0</v>
      </c>
      <c r="M204" s="48">
        <f>Laks!K205</f>
        <v>0</v>
      </c>
      <c r="N204" s="48">
        <f>Assens!K205</f>
        <v>0</v>
      </c>
      <c r="O204" s="48">
        <f>Nyborg!K205</f>
        <v>0</v>
      </c>
      <c r="P204" s="48">
        <f>Nordfyn!K205</f>
        <v>0</v>
      </c>
      <c r="Q204" s="48">
        <f>Kerteminde!K205</f>
        <v>0</v>
      </c>
      <c r="R204" s="48">
        <f>'Særlige tilskud'!K205</f>
        <v>0</v>
      </c>
    </row>
    <row r="205" spans="1:18" x14ac:dyDescent="0.25">
      <c r="A205" s="42" t="s">
        <v>354</v>
      </c>
      <c r="B205" s="42" t="s">
        <v>355</v>
      </c>
      <c r="C205" s="45">
        <v>-1246.72</v>
      </c>
      <c r="G205" s="45">
        <v>1246.72</v>
      </c>
      <c r="H205" s="48">
        <v>-1246.72</v>
      </c>
      <c r="I205" s="48">
        <f t="shared" si="3"/>
        <v>0</v>
      </c>
      <c r="K205" s="48">
        <f>'Fælles adm.'!K206</f>
        <v>0</v>
      </c>
      <c r="L205" s="48">
        <f>Odense!K206</f>
        <v>0</v>
      </c>
      <c r="M205" s="48">
        <f>Laks!K206</f>
        <v>0</v>
      </c>
      <c r="N205" s="48">
        <f>Assens!K206</f>
        <v>0</v>
      </c>
      <c r="O205" s="48">
        <f>Nyborg!K206</f>
        <v>0</v>
      </c>
      <c r="P205" s="48">
        <f>Nordfyn!K206</f>
        <v>0</v>
      </c>
      <c r="Q205" s="48">
        <f>Kerteminde!K206</f>
        <v>0</v>
      </c>
      <c r="R205" s="48">
        <f>'Særlige tilskud'!K206</f>
        <v>0</v>
      </c>
    </row>
    <row r="206" spans="1:18" x14ac:dyDescent="0.25">
      <c r="A206" s="42" t="s">
        <v>356</v>
      </c>
      <c r="B206" s="42" t="s">
        <v>357</v>
      </c>
      <c r="H206" s="48">
        <v>0</v>
      </c>
      <c r="I206" s="48">
        <f t="shared" si="3"/>
        <v>0</v>
      </c>
      <c r="K206" s="48">
        <f>'Fælles adm.'!K207</f>
        <v>0</v>
      </c>
      <c r="L206" s="48">
        <f>Odense!K207</f>
        <v>0</v>
      </c>
      <c r="M206" s="48">
        <f>Laks!K207</f>
        <v>0</v>
      </c>
      <c r="N206" s="48">
        <f>Assens!K207</f>
        <v>0</v>
      </c>
      <c r="O206" s="48">
        <f>Nyborg!K207</f>
        <v>0</v>
      </c>
      <c r="P206" s="48">
        <f>Nordfyn!K207</f>
        <v>0</v>
      </c>
      <c r="Q206" s="48">
        <f>Kerteminde!K207</f>
        <v>0</v>
      </c>
      <c r="R206" s="48">
        <f>'Særlige tilskud'!K207</f>
        <v>0</v>
      </c>
    </row>
    <row r="207" spans="1:18" x14ac:dyDescent="0.25">
      <c r="A207" s="42" t="s">
        <v>358</v>
      </c>
      <c r="B207" s="42" t="s">
        <v>359</v>
      </c>
      <c r="H207" s="48">
        <v>0</v>
      </c>
      <c r="I207" s="48">
        <f t="shared" si="3"/>
        <v>0</v>
      </c>
      <c r="K207" s="48">
        <f>'Fælles adm.'!K208</f>
        <v>0</v>
      </c>
      <c r="L207" s="48">
        <f>Odense!K208</f>
        <v>0</v>
      </c>
      <c r="M207" s="48">
        <f>Laks!K208</f>
        <v>0</v>
      </c>
      <c r="N207" s="48">
        <f>Assens!K208</f>
        <v>0</v>
      </c>
      <c r="O207" s="48">
        <f>Nyborg!K208</f>
        <v>0</v>
      </c>
      <c r="P207" s="48">
        <f>Nordfyn!K208</f>
        <v>0</v>
      </c>
      <c r="Q207" s="48">
        <f>Kerteminde!K208</f>
        <v>0</v>
      </c>
      <c r="R207" s="48">
        <f>'Særlige tilskud'!K208</f>
        <v>0</v>
      </c>
    </row>
    <row r="208" spans="1:18" x14ac:dyDescent="0.25">
      <c r="A208" s="43" t="s">
        <v>360</v>
      </c>
      <c r="B208" s="43" t="s">
        <v>361</v>
      </c>
      <c r="C208" s="46">
        <v>-1246.72</v>
      </c>
      <c r="D208" s="46">
        <v>42000</v>
      </c>
      <c r="E208" s="46">
        <v>102.97</v>
      </c>
      <c r="F208" s="46">
        <v>-2.97</v>
      </c>
      <c r="G208" s="46">
        <v>43246.720000000001</v>
      </c>
      <c r="H208" s="5">
        <v>-246.72000000000003</v>
      </c>
      <c r="I208" s="5">
        <f t="shared" si="3"/>
        <v>0</v>
      </c>
      <c r="K208" s="5">
        <f>'Fælles adm.'!K209</f>
        <v>0</v>
      </c>
      <c r="L208" s="5">
        <f>Odense!K209</f>
        <v>0</v>
      </c>
      <c r="M208" s="5">
        <f>Laks!K209</f>
        <v>0</v>
      </c>
      <c r="N208" s="5">
        <f>Assens!K209</f>
        <v>0</v>
      </c>
      <c r="O208" s="5">
        <f>Nyborg!K209</f>
        <v>0</v>
      </c>
      <c r="P208" s="5">
        <f>Nordfyn!K209</f>
        <v>0</v>
      </c>
      <c r="Q208" s="5">
        <f>Kerteminde!K209</f>
        <v>0</v>
      </c>
      <c r="R208" s="5">
        <f>'Særlige tilskud'!K209</f>
        <v>0</v>
      </c>
    </row>
    <row r="209" spans="1:18" x14ac:dyDescent="0.25">
      <c r="A209" s="42" t="s">
        <v>12</v>
      </c>
      <c r="B209" s="42" t="s">
        <v>12</v>
      </c>
      <c r="H209" s="48"/>
      <c r="I209" s="48">
        <f t="shared" si="3"/>
        <v>0</v>
      </c>
      <c r="K209" s="48">
        <f>'Fælles adm.'!K210</f>
        <v>0</v>
      </c>
      <c r="L209" s="48">
        <f>Odense!K210</f>
        <v>0</v>
      </c>
      <c r="M209" s="48">
        <f>Laks!K210</f>
        <v>0</v>
      </c>
      <c r="N209" s="48">
        <f>Assens!K210</f>
        <v>0</v>
      </c>
      <c r="O209" s="48">
        <f>Nyborg!K210</f>
        <v>0</v>
      </c>
      <c r="P209" s="48">
        <f>Nordfyn!K210</f>
        <v>0</v>
      </c>
      <c r="Q209" s="48">
        <f>Kerteminde!K210</f>
        <v>0</v>
      </c>
      <c r="R209" s="48">
        <f>'Særlige tilskud'!K210</f>
        <v>0</v>
      </c>
    </row>
    <row r="210" spans="1:18" x14ac:dyDescent="0.25">
      <c r="A210" s="43" t="s">
        <v>362</v>
      </c>
      <c r="B210" s="43" t="s">
        <v>40</v>
      </c>
      <c r="C210" s="46"/>
      <c r="D210" s="46"/>
      <c r="E210" s="46"/>
      <c r="F210" s="46"/>
      <c r="G210" s="46"/>
      <c r="H210" s="5"/>
      <c r="I210" s="5">
        <f t="shared" si="3"/>
        <v>0</v>
      </c>
      <c r="K210" s="5">
        <f>'Fælles adm.'!K211</f>
        <v>0</v>
      </c>
      <c r="L210" s="5">
        <f>Odense!K211</f>
        <v>0</v>
      </c>
      <c r="M210" s="5">
        <f>Laks!K211</f>
        <v>0</v>
      </c>
      <c r="N210" s="5">
        <f>Assens!K211</f>
        <v>0</v>
      </c>
      <c r="O210" s="5">
        <f>Nyborg!K211</f>
        <v>0</v>
      </c>
      <c r="P210" s="5">
        <f>Nordfyn!K211</f>
        <v>0</v>
      </c>
      <c r="Q210" s="5">
        <f>Kerteminde!K211</f>
        <v>0</v>
      </c>
      <c r="R210" s="5">
        <f>'Særlige tilskud'!K211</f>
        <v>0</v>
      </c>
    </row>
    <row r="211" spans="1:18" x14ac:dyDescent="0.25">
      <c r="A211" s="42" t="s">
        <v>363</v>
      </c>
      <c r="B211" s="42" t="s">
        <v>364</v>
      </c>
      <c r="D211" s="45">
        <v>-245.74</v>
      </c>
      <c r="E211" s="45">
        <v>100</v>
      </c>
      <c r="G211" s="45">
        <v>-245.74</v>
      </c>
      <c r="H211" s="48">
        <v>-245.74</v>
      </c>
      <c r="I211" s="48">
        <f t="shared" si="3"/>
        <v>0</v>
      </c>
      <c r="K211" s="48">
        <f>'Fælles adm.'!K212</f>
        <v>0</v>
      </c>
      <c r="L211" s="48">
        <f>Odense!K212</f>
        <v>0</v>
      </c>
      <c r="M211" s="48">
        <f>Laks!K212</f>
        <v>0</v>
      </c>
      <c r="N211" s="48">
        <f>Assens!K212</f>
        <v>0</v>
      </c>
      <c r="O211" s="48">
        <f>Nyborg!K212</f>
        <v>0</v>
      </c>
      <c r="P211" s="48">
        <f>Nordfyn!K212</f>
        <v>0</v>
      </c>
      <c r="Q211" s="48">
        <f>Kerteminde!K212</f>
        <v>0</v>
      </c>
      <c r="R211" s="48">
        <f>'Særlige tilskud'!K212</f>
        <v>0</v>
      </c>
    </row>
    <row r="212" spans="1:18" x14ac:dyDescent="0.25">
      <c r="A212" s="42" t="s">
        <v>365</v>
      </c>
      <c r="B212" s="42" t="s">
        <v>366</v>
      </c>
      <c r="C212" s="45">
        <v>-120582.87</v>
      </c>
      <c r="D212" s="45">
        <v>-456010</v>
      </c>
      <c r="E212" s="45">
        <v>73.56</v>
      </c>
      <c r="F212" s="45">
        <v>26.44</v>
      </c>
      <c r="G212" s="45">
        <v>-335427.13</v>
      </c>
      <c r="H212" s="48">
        <v>-283562</v>
      </c>
      <c r="I212" s="48">
        <f t="shared" si="3"/>
        <v>-283562</v>
      </c>
      <c r="K212" s="48">
        <f>'Fælles adm.'!K213</f>
        <v>0</v>
      </c>
      <c r="L212" s="48">
        <f>Odense!K213</f>
        <v>0</v>
      </c>
      <c r="M212" s="48">
        <f>Laks!K213</f>
        <v>0</v>
      </c>
      <c r="N212" s="48">
        <f>Assens!K213</f>
        <v>0</v>
      </c>
      <c r="O212" s="48">
        <f>Nyborg!K213</f>
        <v>0</v>
      </c>
      <c r="P212" s="48">
        <f>Nordfyn!K213</f>
        <v>-33562</v>
      </c>
      <c r="Q212" s="48">
        <f>Kerteminde!K213</f>
        <v>-250000</v>
      </c>
      <c r="R212" s="48">
        <f>'Særlige tilskud'!K213</f>
        <v>0</v>
      </c>
    </row>
    <row r="213" spans="1:18" x14ac:dyDescent="0.25">
      <c r="A213" s="42" t="s">
        <v>367</v>
      </c>
      <c r="B213" s="42" t="s">
        <v>368</v>
      </c>
      <c r="C213" s="45">
        <v>-3697.24</v>
      </c>
      <c r="G213" s="45">
        <v>3697.24</v>
      </c>
      <c r="H213" s="48">
        <v>-3697.24</v>
      </c>
      <c r="I213" s="48">
        <f t="shared" si="3"/>
        <v>0</v>
      </c>
      <c r="K213" s="48">
        <f>'Fælles adm.'!K214</f>
        <v>0</v>
      </c>
      <c r="L213" s="48">
        <f>Odense!K214</f>
        <v>0</v>
      </c>
      <c r="M213" s="48">
        <f>Laks!K214</f>
        <v>0</v>
      </c>
      <c r="N213" s="48">
        <f>Assens!K214</f>
        <v>0</v>
      </c>
      <c r="O213" s="48">
        <f>Nyborg!K214</f>
        <v>0</v>
      </c>
      <c r="P213" s="48">
        <f>Nordfyn!K214</f>
        <v>0</v>
      </c>
      <c r="Q213" s="48">
        <f>Kerteminde!K214</f>
        <v>0</v>
      </c>
      <c r="R213" s="48">
        <f>'Særlige tilskud'!K214</f>
        <v>0</v>
      </c>
    </row>
    <row r="214" spans="1:18" x14ac:dyDescent="0.25">
      <c r="A214" s="42" t="s">
        <v>369</v>
      </c>
      <c r="B214" s="42" t="s">
        <v>370</v>
      </c>
      <c r="C214" s="45">
        <v>-7016.51</v>
      </c>
      <c r="D214" s="45">
        <v>-7227.84</v>
      </c>
      <c r="E214" s="45">
        <v>2.92</v>
      </c>
      <c r="F214" s="45">
        <v>97.08</v>
      </c>
      <c r="G214" s="45">
        <v>-211.33</v>
      </c>
      <c r="H214" s="48">
        <v>-13170.32</v>
      </c>
      <c r="I214" s="48">
        <f t="shared" si="3"/>
        <v>0</v>
      </c>
      <c r="K214" s="48">
        <f>'Fælles adm.'!K215</f>
        <v>0</v>
      </c>
      <c r="L214" s="48">
        <f>Odense!K215</f>
        <v>0</v>
      </c>
      <c r="M214" s="48">
        <f>Laks!K215</f>
        <v>0</v>
      </c>
      <c r="N214" s="48">
        <f>Assens!K215</f>
        <v>0</v>
      </c>
      <c r="O214" s="48">
        <f>Nyborg!K215</f>
        <v>0</v>
      </c>
      <c r="P214" s="48">
        <f>Nordfyn!K215</f>
        <v>0</v>
      </c>
      <c r="Q214" s="48">
        <f>Kerteminde!K215</f>
        <v>0</v>
      </c>
      <c r="R214" s="48">
        <f>'Særlige tilskud'!K215</f>
        <v>0</v>
      </c>
    </row>
    <row r="215" spans="1:18" x14ac:dyDescent="0.25">
      <c r="A215" s="42" t="s">
        <v>371</v>
      </c>
      <c r="B215" s="42" t="s">
        <v>372</v>
      </c>
      <c r="H215" s="48">
        <v>0</v>
      </c>
      <c r="I215" s="48">
        <f t="shared" si="3"/>
        <v>0</v>
      </c>
      <c r="K215" s="48">
        <f>'Fælles adm.'!K216</f>
        <v>0</v>
      </c>
      <c r="L215" s="48">
        <f>Odense!K216</f>
        <v>0</v>
      </c>
      <c r="M215" s="48">
        <f>Laks!K216</f>
        <v>0</v>
      </c>
      <c r="N215" s="48">
        <f>Assens!K216</f>
        <v>0</v>
      </c>
      <c r="O215" s="48">
        <f>Nyborg!K216</f>
        <v>0</v>
      </c>
      <c r="P215" s="48">
        <f>Nordfyn!K216</f>
        <v>0</v>
      </c>
      <c r="Q215" s="48">
        <f>Kerteminde!K216</f>
        <v>0</v>
      </c>
      <c r="R215" s="48">
        <f>'Særlige tilskud'!K216</f>
        <v>0</v>
      </c>
    </row>
    <row r="216" spans="1:18" x14ac:dyDescent="0.25">
      <c r="A216" s="42" t="s">
        <v>373</v>
      </c>
      <c r="B216" s="42" t="s">
        <v>374</v>
      </c>
      <c r="H216" s="48">
        <v>0</v>
      </c>
      <c r="I216" s="48">
        <f t="shared" si="3"/>
        <v>0</v>
      </c>
      <c r="K216" s="48">
        <f>'Fælles adm.'!K217</f>
        <v>0</v>
      </c>
      <c r="L216" s="48">
        <f>Odense!K217</f>
        <v>0</v>
      </c>
      <c r="M216" s="48">
        <f>Laks!K217</f>
        <v>0</v>
      </c>
      <c r="N216" s="48">
        <f>Assens!K217</f>
        <v>0</v>
      </c>
      <c r="O216" s="48">
        <f>Nyborg!K217</f>
        <v>0</v>
      </c>
      <c r="P216" s="48">
        <f>Nordfyn!K217</f>
        <v>0</v>
      </c>
      <c r="Q216" s="48">
        <f>Kerteminde!K217</f>
        <v>0</v>
      </c>
      <c r="R216" s="48">
        <f>'Særlige tilskud'!K217</f>
        <v>0</v>
      </c>
    </row>
    <row r="217" spans="1:18" x14ac:dyDescent="0.25">
      <c r="A217" s="42" t="s">
        <v>375</v>
      </c>
      <c r="B217" s="42" t="s">
        <v>376</v>
      </c>
      <c r="C217" s="45">
        <v>-307.70999999999998</v>
      </c>
      <c r="G217" s="45">
        <v>307.70999999999998</v>
      </c>
      <c r="H217" s="48">
        <v>-307.70999999999998</v>
      </c>
      <c r="I217" s="48">
        <f t="shared" si="3"/>
        <v>0</v>
      </c>
      <c r="K217" s="48">
        <f>'Fælles adm.'!K218</f>
        <v>0</v>
      </c>
      <c r="L217" s="48">
        <f>Odense!K218</f>
        <v>0</v>
      </c>
      <c r="M217" s="48">
        <f>Laks!K218</f>
        <v>0</v>
      </c>
      <c r="N217" s="48">
        <f>Assens!K218</f>
        <v>0</v>
      </c>
      <c r="O217" s="48">
        <f>Nyborg!K218</f>
        <v>0</v>
      </c>
      <c r="P217" s="48">
        <f>Nordfyn!K218</f>
        <v>0</v>
      </c>
      <c r="Q217" s="48">
        <f>Kerteminde!K218</f>
        <v>0</v>
      </c>
      <c r="R217" s="48">
        <f>'Særlige tilskud'!K218</f>
        <v>0</v>
      </c>
    </row>
    <row r="218" spans="1:18" x14ac:dyDescent="0.25">
      <c r="A218" s="43" t="s">
        <v>377</v>
      </c>
      <c r="B218" s="43" t="s">
        <v>378</v>
      </c>
      <c r="C218" s="46">
        <v>-131604.32999999999</v>
      </c>
      <c r="D218" s="46">
        <v>-463483.58</v>
      </c>
      <c r="E218" s="46">
        <v>71.61</v>
      </c>
      <c r="F218" s="46">
        <v>28.39</v>
      </c>
      <c r="G218" s="46">
        <v>-331879.25</v>
      </c>
      <c r="H218" s="5">
        <v>-300983.01</v>
      </c>
      <c r="I218" s="5">
        <f t="shared" si="3"/>
        <v>-283562</v>
      </c>
      <c r="K218" s="5">
        <f>'Fælles adm.'!K219</f>
        <v>0</v>
      </c>
      <c r="L218" s="5">
        <f>Odense!K219</f>
        <v>0</v>
      </c>
      <c r="M218" s="5">
        <f>Laks!K219</f>
        <v>0</v>
      </c>
      <c r="N218" s="5">
        <f>Assens!K219</f>
        <v>0</v>
      </c>
      <c r="O218" s="5">
        <f>Nyborg!K219</f>
        <v>0</v>
      </c>
      <c r="P218" s="5">
        <f>Nordfyn!K219</f>
        <v>-33562</v>
      </c>
      <c r="Q218" s="5">
        <f>Kerteminde!K219</f>
        <v>-250000</v>
      </c>
      <c r="R218" s="5">
        <f>'Særlige tilskud'!K219</f>
        <v>0</v>
      </c>
    </row>
    <row r="219" spans="1:18" x14ac:dyDescent="0.25">
      <c r="A219" s="42" t="s">
        <v>12</v>
      </c>
      <c r="B219" s="42" t="s">
        <v>12</v>
      </c>
      <c r="H219" s="48"/>
      <c r="I219" s="48">
        <f t="shared" si="3"/>
        <v>0</v>
      </c>
      <c r="K219" s="48">
        <f>'Fælles adm.'!K220</f>
        <v>0</v>
      </c>
      <c r="L219" s="48">
        <f>Odense!K220</f>
        <v>0</v>
      </c>
      <c r="M219" s="48">
        <f>Laks!K220</f>
        <v>0</v>
      </c>
      <c r="N219" s="48">
        <f>Assens!K220</f>
        <v>0</v>
      </c>
      <c r="O219" s="48">
        <f>Nyborg!K220</f>
        <v>0</v>
      </c>
      <c r="P219" s="48">
        <f>Nordfyn!K220</f>
        <v>0</v>
      </c>
      <c r="Q219" s="48">
        <f>Kerteminde!K220</f>
        <v>0</v>
      </c>
      <c r="R219" s="48">
        <f>'Særlige tilskud'!K220</f>
        <v>0</v>
      </c>
    </row>
    <row r="220" spans="1:18" x14ac:dyDescent="0.25">
      <c r="A220" s="43" t="s">
        <v>379</v>
      </c>
      <c r="B220" s="43" t="s">
        <v>380</v>
      </c>
      <c r="C220" s="46"/>
      <c r="D220" s="46"/>
      <c r="E220" s="46"/>
      <c r="F220" s="46"/>
      <c r="G220" s="46"/>
      <c r="H220" s="5"/>
      <c r="I220" s="5">
        <f t="shared" si="3"/>
        <v>0</v>
      </c>
      <c r="K220" s="5">
        <f>'Fælles adm.'!K221</f>
        <v>0</v>
      </c>
      <c r="L220" s="5">
        <f>Odense!K221</f>
        <v>0</v>
      </c>
      <c r="M220" s="5">
        <f>Laks!K221</f>
        <v>0</v>
      </c>
      <c r="N220" s="5">
        <f>Assens!K221</f>
        <v>0</v>
      </c>
      <c r="O220" s="5">
        <f>Nyborg!K221</f>
        <v>0</v>
      </c>
      <c r="P220" s="5">
        <f>Nordfyn!K221</f>
        <v>0</v>
      </c>
      <c r="Q220" s="5">
        <f>Kerteminde!K221</f>
        <v>0</v>
      </c>
      <c r="R220" s="5">
        <f>'Særlige tilskud'!K221</f>
        <v>0</v>
      </c>
    </row>
    <row r="221" spans="1:18" x14ac:dyDescent="0.25">
      <c r="A221" s="42" t="s">
        <v>381</v>
      </c>
      <c r="B221" s="42" t="s">
        <v>380</v>
      </c>
      <c r="H221" s="48">
        <v>0</v>
      </c>
      <c r="I221" s="48">
        <f t="shared" si="3"/>
        <v>0</v>
      </c>
      <c r="K221" s="48">
        <f>'Fælles adm.'!K222</f>
        <v>0</v>
      </c>
      <c r="L221" s="48">
        <f>Odense!K222</f>
        <v>0</v>
      </c>
      <c r="M221" s="48">
        <f>Laks!K222</f>
        <v>0</v>
      </c>
      <c r="N221" s="48">
        <f>Assens!K222</f>
        <v>0</v>
      </c>
      <c r="O221" s="48">
        <f>Nyborg!K222</f>
        <v>0</v>
      </c>
      <c r="P221" s="48">
        <f>Nordfyn!K222</f>
        <v>0</v>
      </c>
      <c r="Q221" s="48">
        <f>Kerteminde!K222</f>
        <v>0</v>
      </c>
      <c r="R221" s="48">
        <f>'Særlige tilskud'!K222</f>
        <v>0</v>
      </c>
    </row>
    <row r="222" spans="1:18" x14ac:dyDescent="0.25">
      <c r="A222" s="43" t="s">
        <v>382</v>
      </c>
      <c r="B222" s="43" t="s">
        <v>383</v>
      </c>
      <c r="C222" s="46"/>
      <c r="D222" s="46"/>
      <c r="E222" s="46"/>
      <c r="F222" s="46"/>
      <c r="G222" s="46"/>
      <c r="H222" s="5">
        <v>0</v>
      </c>
      <c r="I222" s="5">
        <f t="shared" si="3"/>
        <v>0</v>
      </c>
      <c r="K222" s="5">
        <f>'Fælles adm.'!K223</f>
        <v>0</v>
      </c>
      <c r="L222" s="5">
        <f>Odense!K223</f>
        <v>0</v>
      </c>
      <c r="M222" s="5">
        <f>Laks!K223</f>
        <v>0</v>
      </c>
      <c r="N222" s="5">
        <f>Assens!K223</f>
        <v>0</v>
      </c>
      <c r="O222" s="5">
        <f>Nyborg!K223</f>
        <v>0</v>
      </c>
      <c r="P222" s="5">
        <f>Nordfyn!K223</f>
        <v>0</v>
      </c>
      <c r="Q222" s="5">
        <f>Kerteminde!K223</f>
        <v>0</v>
      </c>
      <c r="R222" s="5">
        <f>'Særlige tilskud'!K223</f>
        <v>0</v>
      </c>
    </row>
    <row r="223" spans="1:18" x14ac:dyDescent="0.25">
      <c r="A223" s="42" t="s">
        <v>12</v>
      </c>
      <c r="B223" s="42" t="s">
        <v>12</v>
      </c>
      <c r="H223" s="48"/>
      <c r="I223" s="48">
        <f t="shared" si="3"/>
        <v>0</v>
      </c>
      <c r="K223" s="48">
        <f>'Fælles adm.'!K224</f>
        <v>0</v>
      </c>
      <c r="L223" s="48">
        <f>Odense!K224</f>
        <v>0</v>
      </c>
      <c r="M223" s="48">
        <f>Laks!K224</f>
        <v>0</v>
      </c>
      <c r="N223" s="48">
        <f>Assens!K224</f>
        <v>0</v>
      </c>
      <c r="O223" s="48">
        <f>Nyborg!K224</f>
        <v>0</v>
      </c>
      <c r="P223" s="48">
        <f>Nordfyn!K224</f>
        <v>0</v>
      </c>
      <c r="Q223" s="48">
        <f>Kerteminde!K224</f>
        <v>0</v>
      </c>
      <c r="R223" s="48">
        <f>'Særlige tilskud'!K224</f>
        <v>0</v>
      </c>
    </row>
    <row r="224" spans="1:18" x14ac:dyDescent="0.25">
      <c r="A224" s="43" t="s">
        <v>384</v>
      </c>
      <c r="B224" s="43" t="s">
        <v>385</v>
      </c>
      <c r="C224" s="46"/>
      <c r="D224" s="46"/>
      <c r="E224" s="46"/>
      <c r="F224" s="46"/>
      <c r="G224" s="46"/>
      <c r="H224" s="5"/>
      <c r="I224" s="5">
        <f t="shared" si="3"/>
        <v>0</v>
      </c>
      <c r="K224" s="5">
        <f>'Fælles adm.'!K225</f>
        <v>0</v>
      </c>
      <c r="L224" s="5">
        <f>Odense!K225</f>
        <v>0</v>
      </c>
      <c r="M224" s="5">
        <f>Laks!K225</f>
        <v>0</v>
      </c>
      <c r="N224" s="5">
        <f>Assens!K225</f>
        <v>0</v>
      </c>
      <c r="O224" s="5">
        <f>Nyborg!K225</f>
        <v>0</v>
      </c>
      <c r="P224" s="5">
        <f>Nordfyn!K225</f>
        <v>0</v>
      </c>
      <c r="Q224" s="5">
        <f>Kerteminde!K225</f>
        <v>0</v>
      </c>
      <c r="R224" s="5">
        <f>'Særlige tilskud'!K225</f>
        <v>0</v>
      </c>
    </row>
    <row r="225" spans="1:18" x14ac:dyDescent="0.25">
      <c r="A225" s="42" t="s">
        <v>386</v>
      </c>
      <c r="B225" s="42" t="s">
        <v>385</v>
      </c>
      <c r="H225" s="48">
        <v>0</v>
      </c>
      <c r="I225" s="48">
        <f t="shared" si="3"/>
        <v>0</v>
      </c>
      <c r="K225" s="48">
        <f>'Fælles adm.'!K226</f>
        <v>0</v>
      </c>
      <c r="L225" s="48">
        <f>Odense!K226</f>
        <v>0</v>
      </c>
      <c r="M225" s="48">
        <f>Laks!K226</f>
        <v>0</v>
      </c>
      <c r="N225" s="48">
        <f>Assens!K226</f>
        <v>0</v>
      </c>
      <c r="O225" s="48">
        <f>Nyborg!K226</f>
        <v>0</v>
      </c>
      <c r="P225" s="48">
        <f>Nordfyn!K226</f>
        <v>0</v>
      </c>
      <c r="Q225" s="48">
        <f>Kerteminde!K226</f>
        <v>0</v>
      </c>
      <c r="R225" s="48">
        <f>'Særlige tilskud'!K226</f>
        <v>0</v>
      </c>
    </row>
    <row r="226" spans="1:18" x14ac:dyDescent="0.25">
      <c r="A226" s="43" t="s">
        <v>387</v>
      </c>
      <c r="B226" s="43" t="s">
        <v>388</v>
      </c>
      <c r="C226" s="46"/>
      <c r="D226" s="46"/>
      <c r="E226" s="46"/>
      <c r="F226" s="46"/>
      <c r="G226" s="46"/>
      <c r="H226" s="5">
        <v>0</v>
      </c>
      <c r="I226" s="5">
        <f t="shared" si="3"/>
        <v>0</v>
      </c>
      <c r="K226" s="5">
        <f>'Fælles adm.'!K227</f>
        <v>0</v>
      </c>
      <c r="L226" s="5">
        <f>Odense!K227</f>
        <v>0</v>
      </c>
      <c r="M226" s="5">
        <f>Laks!K227</f>
        <v>0</v>
      </c>
      <c r="N226" s="5">
        <f>Assens!K227</f>
        <v>0</v>
      </c>
      <c r="O226" s="5">
        <f>Nyborg!K227</f>
        <v>0</v>
      </c>
      <c r="P226" s="5">
        <f>Nordfyn!K227</f>
        <v>0</v>
      </c>
      <c r="Q226" s="5">
        <f>Kerteminde!K227</f>
        <v>0</v>
      </c>
      <c r="R226" s="5">
        <f>'Særlige tilskud'!K227</f>
        <v>0</v>
      </c>
    </row>
    <row r="227" spans="1:18" x14ac:dyDescent="0.25">
      <c r="A227" s="42" t="s">
        <v>12</v>
      </c>
      <c r="B227" s="42" t="s">
        <v>12</v>
      </c>
      <c r="H227" s="48"/>
      <c r="I227" s="48">
        <f t="shared" si="3"/>
        <v>0</v>
      </c>
      <c r="K227" s="48">
        <f>'Fælles adm.'!K228</f>
        <v>0</v>
      </c>
      <c r="L227" s="48">
        <f>Odense!K228</f>
        <v>0</v>
      </c>
      <c r="M227" s="48">
        <f>Laks!K228</f>
        <v>0</v>
      </c>
      <c r="N227" s="48">
        <f>Assens!K228</f>
        <v>0</v>
      </c>
      <c r="O227" s="48">
        <f>Nyborg!K228</f>
        <v>0</v>
      </c>
      <c r="P227" s="48">
        <f>Nordfyn!K228</f>
        <v>0</v>
      </c>
      <c r="Q227" s="48">
        <f>Kerteminde!K228</f>
        <v>0</v>
      </c>
      <c r="R227" s="48">
        <f>'Særlige tilskud'!K228</f>
        <v>0</v>
      </c>
    </row>
    <row r="228" spans="1:18" ht="15.75" thickBot="1" x14ac:dyDescent="0.3">
      <c r="A228" s="44" t="s">
        <v>389</v>
      </c>
      <c r="B228" s="44" t="s">
        <v>390</v>
      </c>
      <c r="C228" s="47">
        <v>8635017.6400000006</v>
      </c>
      <c r="D228" s="47">
        <v>-1120486.18</v>
      </c>
      <c r="E228" s="47">
        <v>870.65</v>
      </c>
      <c r="F228" s="47">
        <v>-770.65</v>
      </c>
      <c r="G228" s="47">
        <v>-9755503.8200000003</v>
      </c>
      <c r="H228" s="6">
        <v>-2851299.0100000016</v>
      </c>
      <c r="I228" s="6">
        <f t="shared" si="3"/>
        <v>9655692.360000005</v>
      </c>
      <c r="K228" s="6">
        <f>'Fælles adm.'!K229</f>
        <v>-1.862645149230957E-9</v>
      </c>
      <c r="L228" s="6">
        <f>Odense!K229</f>
        <v>4033920.6627950035</v>
      </c>
      <c r="M228" s="6">
        <f>Laks!K229</f>
        <v>27464.660000000149</v>
      </c>
      <c r="N228" s="6">
        <f>Assens!K229</f>
        <v>3078449.1469950005</v>
      </c>
      <c r="O228" s="6">
        <f>Nyborg!K229</f>
        <v>1264363.2093970017</v>
      </c>
      <c r="P228" s="6">
        <f>Nordfyn!K229</f>
        <v>2152582.7532029999</v>
      </c>
      <c r="Q228" s="6">
        <f>Kerteminde!K229</f>
        <v>3098911.9276100006</v>
      </c>
      <c r="R228" s="6">
        <f>'Særlige tilskud'!K229</f>
        <v>-4000000</v>
      </c>
    </row>
    <row r="229" spans="1:18" ht="15.75" thickTop="1" x14ac:dyDescent="0.25">
      <c r="A229" s="42" t="s">
        <v>12</v>
      </c>
      <c r="B229" s="42" t="s">
        <v>12</v>
      </c>
      <c r="H229" s="48"/>
      <c r="I229" s="48">
        <f t="shared" si="3"/>
        <v>0</v>
      </c>
      <c r="K229" s="48">
        <f>'Fælles adm.'!K230</f>
        <v>0</v>
      </c>
      <c r="L229" s="48">
        <f>Odense!K230</f>
        <v>0</v>
      </c>
      <c r="M229" s="48">
        <f>Laks!K230</f>
        <v>0</v>
      </c>
      <c r="N229" s="48">
        <f>Assens!K230</f>
        <v>0</v>
      </c>
      <c r="O229" s="48">
        <f>Nyborg!K230</f>
        <v>0</v>
      </c>
      <c r="P229" s="48">
        <f>Nordfyn!K230</f>
        <v>0</v>
      </c>
      <c r="Q229" s="48">
        <f>Kerteminde!K230</f>
        <v>0</v>
      </c>
      <c r="R229" s="48">
        <f>'Særlige tilskud'!K230</f>
        <v>0</v>
      </c>
    </row>
    <row r="230" spans="1:18" x14ac:dyDescent="0.25">
      <c r="A230" s="43" t="s">
        <v>391</v>
      </c>
      <c r="B230" s="43" t="s">
        <v>392</v>
      </c>
      <c r="C230" s="46"/>
      <c r="D230" s="46"/>
      <c r="E230" s="46"/>
      <c r="F230" s="46"/>
      <c r="G230" s="46"/>
      <c r="H230" s="5"/>
      <c r="I230" s="5">
        <f t="shared" si="3"/>
        <v>0</v>
      </c>
      <c r="K230" s="5">
        <f>'Fælles adm.'!K231</f>
        <v>0</v>
      </c>
      <c r="L230" s="5">
        <f>Odense!K231</f>
        <v>0</v>
      </c>
      <c r="M230" s="5">
        <f>Laks!K231</f>
        <v>0</v>
      </c>
      <c r="N230" s="5">
        <f>Assens!K231</f>
        <v>0</v>
      </c>
      <c r="O230" s="5">
        <f>Nyborg!K231</f>
        <v>0</v>
      </c>
      <c r="P230" s="5">
        <f>Nordfyn!K231</f>
        <v>0</v>
      </c>
      <c r="Q230" s="5">
        <f>Kerteminde!K231</f>
        <v>0</v>
      </c>
      <c r="R230" s="5">
        <f>'Særlige tilskud'!K231</f>
        <v>0</v>
      </c>
    </row>
    <row r="231" spans="1:18" x14ac:dyDescent="0.25">
      <c r="A231" s="42" t="s">
        <v>393</v>
      </c>
      <c r="B231" s="42" t="s">
        <v>394</v>
      </c>
      <c r="H231" s="48">
        <v>0</v>
      </c>
      <c r="I231" s="48">
        <f t="shared" si="3"/>
        <v>0</v>
      </c>
      <c r="K231" s="48">
        <f>'Fælles adm.'!K232</f>
        <v>0</v>
      </c>
      <c r="L231" s="48">
        <f>Odense!K232</f>
        <v>0</v>
      </c>
      <c r="M231" s="48">
        <f>Laks!K232</f>
        <v>0</v>
      </c>
      <c r="N231" s="48">
        <f>Assens!K232</f>
        <v>0</v>
      </c>
      <c r="O231" s="48">
        <f>Nyborg!K232</f>
        <v>0</v>
      </c>
      <c r="P231" s="48">
        <f>Nordfyn!K232</f>
        <v>0</v>
      </c>
      <c r="Q231" s="48">
        <f>Kerteminde!K232</f>
        <v>0</v>
      </c>
      <c r="R231" s="48">
        <f>'Særlige tilskud'!K232</f>
        <v>0</v>
      </c>
    </row>
    <row r="232" spans="1:18" x14ac:dyDescent="0.25">
      <c r="A232" s="42" t="s">
        <v>395</v>
      </c>
      <c r="B232" s="42" t="s">
        <v>396</v>
      </c>
      <c r="H232" s="48">
        <v>0</v>
      </c>
      <c r="I232" s="48">
        <f t="shared" si="3"/>
        <v>0</v>
      </c>
      <c r="K232" s="48">
        <f>'Fælles adm.'!K233</f>
        <v>0</v>
      </c>
      <c r="L232" s="48">
        <f>Odense!K233</f>
        <v>0</v>
      </c>
      <c r="M232" s="48">
        <f>Laks!K233</f>
        <v>0</v>
      </c>
      <c r="N232" s="48">
        <f>Assens!K233</f>
        <v>0</v>
      </c>
      <c r="O232" s="48">
        <f>Nyborg!K233</f>
        <v>0</v>
      </c>
      <c r="P232" s="48">
        <f>Nordfyn!K233</f>
        <v>0</v>
      </c>
      <c r="Q232" s="48">
        <f>Kerteminde!K233</f>
        <v>0</v>
      </c>
      <c r="R232" s="48">
        <f>'Særlige tilskud'!K233</f>
        <v>0</v>
      </c>
    </row>
    <row r="233" spans="1:18" x14ac:dyDescent="0.25">
      <c r="A233" s="42" t="s">
        <v>397</v>
      </c>
      <c r="B233" s="42" t="s">
        <v>398</v>
      </c>
      <c r="H233" s="48">
        <v>0</v>
      </c>
      <c r="I233" s="48">
        <f t="shared" si="3"/>
        <v>0</v>
      </c>
      <c r="K233" s="48">
        <f>'Fælles adm.'!K234</f>
        <v>0</v>
      </c>
      <c r="L233" s="48">
        <f>Odense!K234</f>
        <v>0</v>
      </c>
      <c r="M233" s="48">
        <f>Laks!K234</f>
        <v>0</v>
      </c>
      <c r="N233" s="48">
        <f>Assens!K234</f>
        <v>0</v>
      </c>
      <c r="O233" s="48">
        <f>Nyborg!K234</f>
        <v>0</v>
      </c>
      <c r="P233" s="48">
        <f>Nordfyn!K234</f>
        <v>0</v>
      </c>
      <c r="Q233" s="48">
        <f>Kerteminde!K234</f>
        <v>0</v>
      </c>
      <c r="R233" s="48">
        <f>'Særlige tilskud'!K234</f>
        <v>0</v>
      </c>
    </row>
    <row r="234" spans="1:18" x14ac:dyDescent="0.25">
      <c r="A234" s="43" t="s">
        <v>399</v>
      </c>
      <c r="B234" s="43" t="s">
        <v>400</v>
      </c>
      <c r="C234" s="46"/>
      <c r="D234" s="46"/>
      <c r="E234" s="46"/>
      <c r="F234" s="46"/>
      <c r="G234" s="46"/>
      <c r="H234" s="5">
        <v>0</v>
      </c>
      <c r="I234" s="5">
        <f t="shared" si="3"/>
        <v>0</v>
      </c>
      <c r="K234" s="5">
        <f>'Fælles adm.'!K235</f>
        <v>0</v>
      </c>
      <c r="L234" s="5">
        <f>Odense!K235</f>
        <v>0</v>
      </c>
      <c r="M234" s="5">
        <f>Laks!K235</f>
        <v>0</v>
      </c>
      <c r="N234" s="5">
        <f>Assens!K235</f>
        <v>0</v>
      </c>
      <c r="O234" s="5">
        <f>Nyborg!K235</f>
        <v>0</v>
      </c>
      <c r="P234" s="5">
        <f>Nordfyn!K235</f>
        <v>0</v>
      </c>
      <c r="Q234" s="5">
        <f>Kerteminde!K235</f>
        <v>0</v>
      </c>
      <c r="R234" s="5">
        <f>'Særlige tilskud'!K235</f>
        <v>0</v>
      </c>
    </row>
    <row r="235" spans="1:18" x14ac:dyDescent="0.25">
      <c r="A235" s="42" t="s">
        <v>12</v>
      </c>
      <c r="B235" s="42" t="s">
        <v>12</v>
      </c>
      <c r="H235" s="48">
        <v>0</v>
      </c>
      <c r="I235" s="48">
        <f t="shared" si="3"/>
        <v>0</v>
      </c>
      <c r="K235" s="48">
        <f>'Fælles adm.'!K236</f>
        <v>0</v>
      </c>
      <c r="L235" s="48">
        <f>Odense!K236</f>
        <v>0</v>
      </c>
      <c r="M235" s="48">
        <f>Laks!K236</f>
        <v>0</v>
      </c>
      <c r="N235" s="48">
        <f>Assens!K236</f>
        <v>0</v>
      </c>
      <c r="O235" s="48">
        <f>Nyborg!K236</f>
        <v>0</v>
      </c>
      <c r="P235" s="48">
        <f>Nordfyn!K236</f>
        <v>0</v>
      </c>
      <c r="Q235" s="48">
        <f>Kerteminde!K236</f>
        <v>0</v>
      </c>
      <c r="R235" s="48">
        <f>'Særlige tilskud'!K236</f>
        <v>0</v>
      </c>
    </row>
    <row r="236" spans="1:18" ht="15.75" thickBot="1" x14ac:dyDescent="0.3">
      <c r="A236" s="44" t="s">
        <v>12</v>
      </c>
      <c r="B236" s="44" t="s">
        <v>46</v>
      </c>
      <c r="C236" s="47">
        <v>8635017.6400000006</v>
      </c>
      <c r="D236" s="47">
        <v>-1120486.18</v>
      </c>
      <c r="E236" s="47">
        <v>870.65</v>
      </c>
      <c r="F236" s="47">
        <v>-770.65</v>
      </c>
      <c r="G236" s="47">
        <v>-9755503.8200000003</v>
      </c>
      <c r="H236" s="6">
        <v>-2851299.0100000016</v>
      </c>
      <c r="I236" s="6">
        <f t="shared" si="3"/>
        <v>3078449.1469950005</v>
      </c>
      <c r="K236" s="6">
        <f>'Fælles adm.'!K237</f>
        <v>0</v>
      </c>
      <c r="L236" s="6">
        <f>Odense!K237</f>
        <v>0</v>
      </c>
      <c r="M236" s="6">
        <f>Laks!K237</f>
        <v>0</v>
      </c>
      <c r="N236" s="6">
        <f>Assens!K237</f>
        <v>3078449.1469950005</v>
      </c>
      <c r="O236" s="6">
        <f>Nyborg!K237</f>
        <v>0</v>
      </c>
      <c r="P236" s="6">
        <f>Nordfyn!K237</f>
        <v>0</v>
      </c>
      <c r="Q236" s="6">
        <f>Kerteminde!K237</f>
        <v>0</v>
      </c>
      <c r="R236" s="6">
        <f>'Særlige tilskud'!K237</f>
        <v>0</v>
      </c>
    </row>
    <row r="237" spans="1:18" ht="15.75" thickTop="1" x14ac:dyDescent="0.25">
      <c r="A237" s="42" t="s">
        <v>12</v>
      </c>
      <c r="B237" s="42" t="s">
        <v>12</v>
      </c>
      <c r="H237" s="48"/>
      <c r="I237" s="48">
        <f t="shared" si="3"/>
        <v>0</v>
      </c>
      <c r="K237" s="48">
        <f>'Fælles adm.'!K238</f>
        <v>0</v>
      </c>
      <c r="L237" s="48">
        <f>Odense!K238</f>
        <v>0</v>
      </c>
      <c r="M237" s="48">
        <f>Laks!K238</f>
        <v>0</v>
      </c>
      <c r="N237" s="48">
        <f>Assens!K238</f>
        <v>0</v>
      </c>
      <c r="O237" s="48">
        <f>Nyborg!K238</f>
        <v>0</v>
      </c>
      <c r="P237" s="48">
        <f>Nordfyn!K238</f>
        <v>0</v>
      </c>
      <c r="Q237" s="48">
        <f>Kerteminde!K238</f>
        <v>0</v>
      </c>
      <c r="R237" s="48">
        <f>'Særlige tilskud'!K238</f>
        <v>0</v>
      </c>
    </row>
    <row r="238" spans="1:18" x14ac:dyDescent="0.25">
      <c r="A238" s="42" t="s">
        <v>401</v>
      </c>
      <c r="B238" s="42" t="s">
        <v>402</v>
      </c>
      <c r="H238" s="48">
        <v>0</v>
      </c>
      <c r="I238" s="48">
        <f t="shared" si="3"/>
        <v>0</v>
      </c>
      <c r="K238" s="48">
        <f>'Fælles adm.'!K239</f>
        <v>0</v>
      </c>
      <c r="L238" s="48">
        <f>Odense!K239</f>
        <v>0</v>
      </c>
      <c r="M238" s="48">
        <f>Laks!K239</f>
        <v>0</v>
      </c>
      <c r="N238" s="48">
        <f>Assens!K239</f>
        <v>0</v>
      </c>
      <c r="O238" s="48">
        <f>Nyborg!K239</f>
        <v>0</v>
      </c>
      <c r="P238" s="48">
        <f>Nordfyn!K239</f>
        <v>0</v>
      </c>
      <c r="Q238" s="48">
        <f>Kerteminde!K239</f>
        <v>0</v>
      </c>
      <c r="R238" s="48">
        <f>'Særlige tilskud'!K239</f>
        <v>0</v>
      </c>
    </row>
    <row r="239" spans="1:18" x14ac:dyDescent="0.25">
      <c r="A239" s="42" t="s">
        <v>403</v>
      </c>
      <c r="B239" s="42" t="s">
        <v>404</v>
      </c>
      <c r="C239" s="45">
        <v>85929.24</v>
      </c>
      <c r="G239" s="45">
        <v>-85929.24</v>
      </c>
      <c r="H239" s="48">
        <v>0</v>
      </c>
      <c r="I239" s="48">
        <f t="shared" si="3"/>
        <v>0</v>
      </c>
      <c r="K239" s="48">
        <f>'Fælles adm.'!K240</f>
        <v>0</v>
      </c>
      <c r="L239" s="48">
        <f>Odense!K240</f>
        <v>0</v>
      </c>
      <c r="M239" s="48">
        <f>Laks!K240</f>
        <v>0</v>
      </c>
      <c r="N239" s="48">
        <f>Assens!K240</f>
        <v>0</v>
      </c>
      <c r="O239" s="48">
        <f>Nyborg!K240</f>
        <v>0</v>
      </c>
      <c r="P239" s="48">
        <f>Nordfyn!K240</f>
        <v>0</v>
      </c>
      <c r="Q239" s="48">
        <f>Kerteminde!K240</f>
        <v>0</v>
      </c>
      <c r="R239" s="48">
        <f>'Særlige tilskud'!K240</f>
        <v>0</v>
      </c>
    </row>
    <row r="240" spans="1:18" x14ac:dyDescent="0.25">
      <c r="A240" s="42" t="s">
        <v>405</v>
      </c>
      <c r="B240" s="42" t="s">
        <v>406</v>
      </c>
      <c r="C240" s="45">
        <v>-1619347.55</v>
      </c>
      <c r="D240" s="45">
        <v>-3644077.35</v>
      </c>
      <c r="E240" s="45">
        <v>55.56</v>
      </c>
      <c r="F240" s="45">
        <v>44.44</v>
      </c>
      <c r="G240" s="45">
        <v>-2024729.8</v>
      </c>
      <c r="H240" s="48">
        <v>-3146560.6999999997</v>
      </c>
      <c r="I240" s="48">
        <f t="shared" si="3"/>
        <v>-3687939.1799999997</v>
      </c>
      <c r="K240" s="48">
        <f>'Fælles adm.'!K241</f>
        <v>0</v>
      </c>
      <c r="L240" s="48">
        <f>Odense!K241</f>
        <v>-1497540.5099999998</v>
      </c>
      <c r="M240" s="48">
        <f>Laks!K241</f>
        <v>-39547.33</v>
      </c>
      <c r="N240" s="48">
        <f>Assens!K241</f>
        <v>-391818.28</v>
      </c>
      <c r="O240" s="48">
        <f>Nyborg!K241</f>
        <v>-282706.99</v>
      </c>
      <c r="P240" s="48">
        <f>Nordfyn!K241</f>
        <v>-552093.5</v>
      </c>
      <c r="Q240" s="48">
        <f>Kerteminde!K241</f>
        <v>-924232.57</v>
      </c>
      <c r="R240" s="48">
        <f>'Særlige tilskud'!K241</f>
        <v>0</v>
      </c>
    </row>
    <row r="241" spans="1:18" x14ac:dyDescent="0.25">
      <c r="A241" s="42" t="s">
        <v>407</v>
      </c>
      <c r="B241" s="42" t="s">
        <v>408</v>
      </c>
      <c r="H241" s="48">
        <v>0</v>
      </c>
      <c r="I241" s="48">
        <f t="shared" si="3"/>
        <v>0</v>
      </c>
      <c r="K241" s="48">
        <f>'Fælles adm.'!K242</f>
        <v>0</v>
      </c>
      <c r="L241" s="48">
        <f>Odense!K242</f>
        <v>0</v>
      </c>
      <c r="M241" s="48">
        <f>Laks!K242</f>
        <v>0</v>
      </c>
      <c r="N241" s="48">
        <f>Assens!K242</f>
        <v>0</v>
      </c>
      <c r="O241" s="48">
        <f>Nyborg!K242</f>
        <v>0</v>
      </c>
      <c r="P241" s="48">
        <f>Nordfyn!K242</f>
        <v>0</v>
      </c>
      <c r="Q241" s="48">
        <f>Kerteminde!K242</f>
        <v>0</v>
      </c>
      <c r="R241" s="48">
        <f>'Særlige tilskud'!K242</f>
        <v>0</v>
      </c>
    </row>
    <row r="242" spans="1:18" x14ac:dyDescent="0.25">
      <c r="A242" s="43" t="s">
        <v>409</v>
      </c>
      <c r="B242" s="43" t="s">
        <v>410</v>
      </c>
      <c r="C242" s="46">
        <v>-1533418.31</v>
      </c>
      <c r="D242" s="46">
        <v>-3644077.35</v>
      </c>
      <c r="E242" s="46">
        <v>57.92</v>
      </c>
      <c r="F242" s="46">
        <v>42.08</v>
      </c>
      <c r="G242" s="46">
        <v>-2110659.04</v>
      </c>
      <c r="H242" s="5">
        <v>-3146560.6999999997</v>
      </c>
      <c r="I242" s="5">
        <f t="shared" si="3"/>
        <v>-3687939.1799999997</v>
      </c>
      <c r="K242" s="5">
        <f>'Fælles adm.'!K243</f>
        <v>0</v>
      </c>
      <c r="L242" s="5">
        <f>Odense!K243</f>
        <v>-1497540.5099999998</v>
      </c>
      <c r="M242" s="5">
        <f>Laks!K243</f>
        <v>-39547.33</v>
      </c>
      <c r="N242" s="5">
        <f>Assens!K243</f>
        <v>-391818.28</v>
      </c>
      <c r="O242" s="5">
        <f>Nyborg!K243</f>
        <v>-282706.99</v>
      </c>
      <c r="P242" s="5">
        <f>Nordfyn!K243</f>
        <v>-552093.5</v>
      </c>
      <c r="Q242" s="5">
        <f>Kerteminde!K243</f>
        <v>-924232.57</v>
      </c>
      <c r="R242" s="5">
        <f>'Særlige tilskud'!K243</f>
        <v>0</v>
      </c>
    </row>
    <row r="243" spans="1:18" x14ac:dyDescent="0.25">
      <c r="A243" s="42" t="s">
        <v>12</v>
      </c>
      <c r="B243" s="42" t="s">
        <v>12</v>
      </c>
      <c r="H243" s="48"/>
      <c r="I243" s="48">
        <f t="shared" si="3"/>
        <v>0</v>
      </c>
      <c r="K243" s="48">
        <f>'Fælles adm.'!K244</f>
        <v>0</v>
      </c>
      <c r="L243" s="48">
        <f>Odense!K244</f>
        <v>0</v>
      </c>
      <c r="M243" s="48">
        <f>Laks!K244</f>
        <v>0</v>
      </c>
      <c r="N243" s="48">
        <f>Assens!K244</f>
        <v>0</v>
      </c>
      <c r="O243" s="48">
        <f>Nyborg!K244</f>
        <v>0</v>
      </c>
      <c r="P243" s="48">
        <f>Nordfyn!K244</f>
        <v>0</v>
      </c>
      <c r="Q243" s="48">
        <f>Kerteminde!K244</f>
        <v>0</v>
      </c>
      <c r="R243" s="48">
        <f>'Særlige tilskud'!K244</f>
        <v>0</v>
      </c>
    </row>
    <row r="244" spans="1:18" ht="15.75" thickBot="1" x14ac:dyDescent="0.3">
      <c r="A244" s="44" t="s">
        <v>411</v>
      </c>
      <c r="B244" s="44" t="s">
        <v>49</v>
      </c>
      <c r="C244" s="47">
        <v>7101599.3300000001</v>
      </c>
      <c r="D244" s="47">
        <v>-4764563.53</v>
      </c>
      <c r="E244" s="47">
        <v>249.05</v>
      </c>
      <c r="F244" s="47">
        <v>-149.05000000000001</v>
      </c>
      <c r="G244" s="47">
        <v>-11866162.859999999</v>
      </c>
      <c r="H244" s="6">
        <v>-5997859.7100000009</v>
      </c>
      <c r="I244" s="6">
        <f t="shared" si="3"/>
        <v>5967753.1800000053</v>
      </c>
      <c r="K244" s="6">
        <f>'Fælles adm.'!K245</f>
        <v>-1.862645149230957E-9</v>
      </c>
      <c r="L244" s="6">
        <f>Odense!K245</f>
        <v>2536380.1527950037</v>
      </c>
      <c r="M244" s="6">
        <f>Laks!K245</f>
        <v>-12082.669999999853</v>
      </c>
      <c r="N244" s="6">
        <f>Assens!K245</f>
        <v>2686630.8669950003</v>
      </c>
      <c r="O244" s="6">
        <f>Nyborg!K245</f>
        <v>981656.21939700167</v>
      </c>
      <c r="P244" s="6">
        <f>Nordfyn!K245</f>
        <v>1600489.2532029999</v>
      </c>
      <c r="Q244" s="6">
        <f>Kerteminde!K245</f>
        <v>2174679.3576100008</v>
      </c>
      <c r="R244" s="6">
        <f>'Særlige tilskud'!K245</f>
        <v>-4000000</v>
      </c>
    </row>
    <row r="245" spans="1:18" ht="15.75" thickTop="1" x14ac:dyDescent="0.25">
      <c r="H245" s="48"/>
      <c r="I245" s="48"/>
      <c r="K245" s="48"/>
      <c r="L245" s="48"/>
      <c r="M245" s="48"/>
      <c r="N245" s="48"/>
      <c r="O245" s="48"/>
      <c r="P245" s="48"/>
      <c r="Q245" s="48"/>
      <c r="R245" s="48"/>
    </row>
  </sheetData>
  <sheetProtection algorithmName="SHA-512" hashValue="97XSD5s6bd2/Eg6YMZBQtNjHqDqJRTAL5umRoBHSicQeTWKWmgsni/BIQquZvQzunH5j21j+0H2xVUKWGfb9Ow==" saltValue="7FOvQ/ObZsJz4Kmz949epA==" spinCount="100000"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0FD42F-7C97-4E31-9C47-EAC3C3F61C3B}">
  <dimension ref="A1:N43"/>
  <sheetViews>
    <sheetView topLeftCell="A18" workbookViewId="0">
      <selection activeCell="F17" sqref="F17"/>
    </sheetView>
  </sheetViews>
  <sheetFormatPr defaultRowHeight="15" x14ac:dyDescent="0.25"/>
  <cols>
    <col min="1" max="1" width="45.5703125" style="40" bestFit="1" customWidth="1"/>
    <col min="2" max="2" width="17" style="79" bestFit="1" customWidth="1"/>
    <col min="3" max="4" width="16" style="79" bestFit="1" customWidth="1"/>
    <col min="5" max="5" width="14.28515625" style="80" bestFit="1" customWidth="1"/>
    <col min="6" max="6" width="13.28515625" style="80" bestFit="1" customWidth="1"/>
    <col min="7" max="7" width="14.28515625" style="80" bestFit="1" customWidth="1"/>
    <col min="8" max="8" width="14.28515625" style="7" bestFit="1" customWidth="1"/>
    <col min="9" max="9" width="11.85546875" style="7" bestFit="1" customWidth="1"/>
    <col min="10" max="11" width="14.28515625" style="53" bestFit="1" customWidth="1"/>
    <col min="12" max="16384" width="9.140625" style="40"/>
  </cols>
  <sheetData>
    <row r="1" spans="1:14" x14ac:dyDescent="0.25">
      <c r="A1" s="56" t="s">
        <v>474</v>
      </c>
    </row>
    <row r="2" spans="1:14" x14ac:dyDescent="0.25">
      <c r="B2" s="79">
        <v>2022</v>
      </c>
      <c r="C2" s="79">
        <v>2023</v>
      </c>
    </row>
    <row r="3" spans="1:14" x14ac:dyDescent="0.25">
      <c r="A3" s="40" t="s">
        <v>476</v>
      </c>
      <c r="B3" s="113">
        <v>1</v>
      </c>
      <c r="C3" s="113">
        <v>1</v>
      </c>
      <c r="E3" s="133" t="s">
        <v>490</v>
      </c>
      <c r="F3" s="134"/>
      <c r="G3" s="134"/>
      <c r="H3" s="134"/>
      <c r="I3" s="134"/>
      <c r="J3" s="134"/>
      <c r="K3" s="135"/>
    </row>
    <row r="4" spans="1:14" x14ac:dyDescent="0.25">
      <c r="A4" s="40" t="s">
        <v>475</v>
      </c>
      <c r="B4" s="113">
        <v>1</v>
      </c>
      <c r="C4" s="113">
        <v>1</v>
      </c>
      <c r="E4" s="136"/>
      <c r="F4" s="137"/>
      <c r="G4" s="137"/>
      <c r="H4" s="137"/>
      <c r="I4" s="137"/>
      <c r="J4" s="137"/>
      <c r="K4" s="138"/>
    </row>
    <row r="7" spans="1:14" x14ac:dyDescent="0.25">
      <c r="A7" s="40" t="s">
        <v>477</v>
      </c>
      <c r="B7" s="79" t="s">
        <v>483</v>
      </c>
      <c r="C7" s="79" t="s">
        <v>421</v>
      </c>
      <c r="D7" s="79" t="s">
        <v>423</v>
      </c>
      <c r="E7" s="79" t="s">
        <v>424</v>
      </c>
      <c r="F7" s="80" t="s">
        <v>425</v>
      </c>
      <c r="G7" s="80" t="s">
        <v>426</v>
      </c>
      <c r="H7" s="80" t="s">
        <v>427</v>
      </c>
      <c r="I7" s="80"/>
      <c r="J7" s="80"/>
      <c r="K7" s="7"/>
      <c r="L7" s="7"/>
      <c r="M7" s="53"/>
      <c r="N7" s="53"/>
    </row>
    <row r="8" spans="1:14" x14ac:dyDescent="0.25">
      <c r="A8" s="40" t="s">
        <v>479</v>
      </c>
      <c r="B8" s="114">
        <v>0</v>
      </c>
      <c r="C8" s="114">
        <v>20756712</v>
      </c>
      <c r="D8" s="114">
        <v>8160008</v>
      </c>
      <c r="E8" s="114">
        <v>8778409</v>
      </c>
      <c r="F8" s="114">
        <v>9053391</v>
      </c>
      <c r="G8" s="114">
        <v>7960012</v>
      </c>
      <c r="H8" s="102">
        <v>0</v>
      </c>
    </row>
    <row r="9" spans="1:14" x14ac:dyDescent="0.25">
      <c r="A9" s="40" t="s">
        <v>480</v>
      </c>
      <c r="B9" s="114">
        <v>0</v>
      </c>
      <c r="C9" s="114">
        <v>20756712</v>
      </c>
      <c r="D9" s="114">
        <v>8160008</v>
      </c>
      <c r="E9" s="114">
        <v>8778409</v>
      </c>
      <c r="F9" s="114">
        <v>9053391</v>
      </c>
      <c r="G9" s="114">
        <v>7960012</v>
      </c>
      <c r="H9" s="102">
        <v>0</v>
      </c>
    </row>
    <row r="10" spans="1:14" x14ac:dyDescent="0.25">
      <c r="A10" s="40" t="s">
        <v>481</v>
      </c>
      <c r="B10" s="89">
        <v>2226850</v>
      </c>
      <c r="C10" s="89">
        <v>1761420</v>
      </c>
      <c r="D10" s="89">
        <v>1761420</v>
      </c>
      <c r="E10" s="89">
        <v>1761420</v>
      </c>
      <c r="F10" s="89">
        <v>1761420</v>
      </c>
      <c r="G10" s="89">
        <v>1761420</v>
      </c>
      <c r="H10" s="102">
        <v>0</v>
      </c>
    </row>
    <row r="11" spans="1:14" x14ac:dyDescent="0.25">
      <c r="A11" s="40" t="s">
        <v>482</v>
      </c>
      <c r="B11" s="89">
        <v>2226850</v>
      </c>
      <c r="C11" s="89">
        <v>1761420</v>
      </c>
      <c r="D11" s="89">
        <v>1761420</v>
      </c>
      <c r="E11" s="89">
        <v>1761420</v>
      </c>
      <c r="F11" s="89">
        <v>1761420</v>
      </c>
      <c r="G11" s="89">
        <v>1761420</v>
      </c>
      <c r="H11" s="102">
        <v>0</v>
      </c>
    </row>
    <row r="12" spans="1:14" x14ac:dyDescent="0.25">
      <c r="A12" s="40" t="s">
        <v>484</v>
      </c>
      <c r="B12" s="114">
        <v>0</v>
      </c>
      <c r="C12" s="114">
        <v>0</v>
      </c>
      <c r="D12" s="114">
        <v>0</v>
      </c>
      <c r="E12" s="114">
        <v>0</v>
      </c>
      <c r="F12" s="114">
        <v>0</v>
      </c>
      <c r="G12" s="114">
        <v>0</v>
      </c>
      <c r="H12" s="102">
        <v>2000000</v>
      </c>
    </row>
    <row r="13" spans="1:14" x14ac:dyDescent="0.25">
      <c r="A13" s="40" t="s">
        <v>485</v>
      </c>
      <c r="B13" s="114">
        <v>0</v>
      </c>
      <c r="C13" s="114">
        <v>0</v>
      </c>
      <c r="D13" s="114">
        <v>0</v>
      </c>
      <c r="E13" s="114">
        <v>0</v>
      </c>
      <c r="F13" s="114">
        <v>0</v>
      </c>
      <c r="G13" s="114">
        <v>0</v>
      </c>
      <c r="H13" s="114">
        <v>0</v>
      </c>
    </row>
    <row r="14" spans="1:14" x14ac:dyDescent="0.25">
      <c r="A14" s="40" t="s">
        <v>488</v>
      </c>
      <c r="B14" s="113"/>
      <c r="C14" s="114">
        <v>1145520</v>
      </c>
      <c r="D14" s="114">
        <v>356384</v>
      </c>
      <c r="E14" s="114">
        <v>547304</v>
      </c>
      <c r="F14" s="114">
        <v>458208</v>
      </c>
      <c r="G14" s="114">
        <v>470936</v>
      </c>
      <c r="H14" s="102"/>
    </row>
    <row r="15" spans="1:14" x14ac:dyDescent="0.25">
      <c r="A15" s="40" t="s">
        <v>489</v>
      </c>
      <c r="B15" s="113"/>
      <c r="C15" s="114">
        <v>1145520</v>
      </c>
      <c r="D15" s="114">
        <v>356384</v>
      </c>
      <c r="E15" s="114">
        <v>547304</v>
      </c>
      <c r="F15" s="114">
        <v>458208</v>
      </c>
      <c r="G15" s="114">
        <v>470936</v>
      </c>
      <c r="H15" s="102"/>
    </row>
    <row r="21" spans="1:11" x14ac:dyDescent="0.25">
      <c r="A21" s="56" t="s">
        <v>437</v>
      </c>
    </row>
    <row r="23" spans="1:11" x14ac:dyDescent="0.25">
      <c r="B23" s="80" t="s">
        <v>421</v>
      </c>
      <c r="C23" s="80" t="s">
        <v>423</v>
      </c>
      <c r="D23" s="80" t="s">
        <v>425</v>
      </c>
      <c r="E23" s="80" t="s">
        <v>426</v>
      </c>
      <c r="F23" s="80" t="s">
        <v>424</v>
      </c>
      <c r="G23" s="79"/>
      <c r="H23" s="7" t="s">
        <v>438</v>
      </c>
      <c r="I23" s="7" t="s">
        <v>439</v>
      </c>
      <c r="J23" s="40"/>
      <c r="K23" s="40"/>
    </row>
    <row r="24" spans="1:11" x14ac:dyDescent="0.25">
      <c r="B24" s="80"/>
      <c r="C24" s="80"/>
      <c r="D24" s="80"/>
      <c r="G24" s="79"/>
      <c r="I24" s="40"/>
      <c r="J24" s="40"/>
      <c r="K24" s="40"/>
    </row>
    <row r="25" spans="1:11" x14ac:dyDescent="0.25">
      <c r="A25" s="40" t="s">
        <v>440</v>
      </c>
      <c r="B25" s="81">
        <v>290.33</v>
      </c>
      <c r="C25" s="81">
        <v>95.33</v>
      </c>
      <c r="D25" s="81">
        <v>102.67</v>
      </c>
      <c r="E25" s="81">
        <v>104.33</v>
      </c>
      <c r="F25" s="81">
        <v>87.33</v>
      </c>
      <c r="G25" s="82">
        <f>SUM(B25:F25)</f>
        <v>679.99</v>
      </c>
      <c r="I25" s="40"/>
      <c r="J25" s="40"/>
      <c r="K25" s="40"/>
    </row>
    <row r="26" spans="1:11" x14ac:dyDescent="0.25">
      <c r="A26" s="40" t="s">
        <v>441</v>
      </c>
      <c r="B26" s="80">
        <v>29477497.309999999</v>
      </c>
      <c r="C26" s="80">
        <v>9483955.5600000005</v>
      </c>
      <c r="D26" s="80">
        <v>10375110.300000001</v>
      </c>
      <c r="E26" s="80">
        <v>10357183.199999999</v>
      </c>
      <c r="F26" s="80">
        <v>8823634.1400000006</v>
      </c>
      <c r="G26" s="83">
        <v>68517380.510000005</v>
      </c>
      <c r="H26" s="7">
        <v>68517380.50999999</v>
      </c>
      <c r="I26" s="57">
        <f>G26-H26</f>
        <v>0</v>
      </c>
      <c r="J26" s="40"/>
      <c r="K26" s="40"/>
    </row>
    <row r="27" spans="1:11" x14ac:dyDescent="0.25">
      <c r="A27" s="40" t="s">
        <v>442</v>
      </c>
      <c r="B27" s="80">
        <f>B26/B25</f>
        <v>101531.00716426136</v>
      </c>
      <c r="C27" s="80">
        <f>C26/C25</f>
        <v>99485.529843700831</v>
      </c>
      <c r="D27" s="80">
        <f>D26/D25</f>
        <v>101052.98821466837</v>
      </c>
      <c r="E27" s="80">
        <f>E26/E25</f>
        <v>99273.298188440516</v>
      </c>
      <c r="F27" s="80">
        <f>F26/F25</f>
        <v>101037.83510821025</v>
      </c>
      <c r="G27" s="79"/>
      <c r="I27" s="40"/>
      <c r="J27" s="40"/>
      <c r="K27" s="40"/>
    </row>
    <row r="28" spans="1:11" x14ac:dyDescent="0.25">
      <c r="A28" s="40" t="s">
        <v>443</v>
      </c>
      <c r="B28" s="81">
        <v>264</v>
      </c>
      <c r="C28" s="81">
        <v>94</v>
      </c>
      <c r="D28" s="81">
        <v>95</v>
      </c>
      <c r="E28" s="81">
        <v>99</v>
      </c>
      <c r="F28" s="81">
        <v>88</v>
      </c>
      <c r="G28" s="82">
        <f>SUM(B28:F28)</f>
        <v>640</v>
      </c>
      <c r="I28" s="40"/>
      <c r="J28" s="40"/>
      <c r="K28" s="40"/>
    </row>
    <row r="29" spans="1:11" x14ac:dyDescent="0.25">
      <c r="A29" s="40" t="s">
        <v>444</v>
      </c>
      <c r="B29" s="80">
        <f>B41</f>
        <v>23855836.665381402</v>
      </c>
      <c r="C29" s="80">
        <f>C41</f>
        <v>7833075.8423545929</v>
      </c>
      <c r="D29" s="80">
        <f>D41</f>
        <v>8436188.9933341667</v>
      </c>
      <c r="E29" s="80">
        <f>E41</f>
        <v>8572587.8803404458</v>
      </c>
      <c r="F29" s="80">
        <f>F41</f>
        <v>7175731.8085893895</v>
      </c>
      <c r="G29" s="83">
        <f>SUM(B29:F29)</f>
        <v>55873421.18999999</v>
      </c>
      <c r="I29" s="40"/>
      <c r="J29" s="40"/>
      <c r="K29" s="40"/>
    </row>
    <row r="30" spans="1:11" x14ac:dyDescent="0.25">
      <c r="A30" s="40" t="s">
        <v>439</v>
      </c>
      <c r="B30" s="80">
        <f>B26-B29</f>
        <v>5621660.6446185969</v>
      </c>
      <c r="C30" s="80">
        <f>C26-C29</f>
        <v>1650879.7176454077</v>
      </c>
      <c r="D30" s="80">
        <f>D26-D29</f>
        <v>1938921.306665834</v>
      </c>
      <c r="E30" s="80">
        <f>E26-E29</f>
        <v>1784595.3196595535</v>
      </c>
      <c r="F30" s="80">
        <f>F26-F29</f>
        <v>1647902.331410611</v>
      </c>
      <c r="G30" s="83">
        <f>SUM(B30:F30)</f>
        <v>12643959.320000002</v>
      </c>
      <c r="I30" s="40"/>
      <c r="J30" s="40"/>
      <c r="K30" s="40"/>
    </row>
    <row r="31" spans="1:11" x14ac:dyDescent="0.25">
      <c r="B31" s="80"/>
      <c r="C31" s="80"/>
      <c r="D31" s="80"/>
      <c r="G31" s="79"/>
      <c r="I31" s="40"/>
      <c r="J31" s="40"/>
      <c r="K31" s="40"/>
    </row>
    <row r="32" spans="1:11" x14ac:dyDescent="0.25">
      <c r="B32" s="80"/>
      <c r="C32" s="80"/>
      <c r="D32" s="80"/>
      <c r="G32" s="79"/>
      <c r="I32" s="40"/>
      <c r="J32" s="40"/>
      <c r="K32" s="40"/>
    </row>
    <row r="33" spans="1:11" x14ac:dyDescent="0.25">
      <c r="A33" s="40" t="s">
        <v>445</v>
      </c>
      <c r="B33" s="80">
        <f>[2]Odense!C41+[2]Odense!C42+[2]Odense!C43+[2]Odense!C44</f>
        <v>6488154.3100000005</v>
      </c>
      <c r="C33" s="80">
        <f>[2]Assens!C41+[2]Assens!C42+[2]Assens!C43+[2]Assens!C44</f>
        <v>2112422.37</v>
      </c>
      <c r="D33" s="80">
        <f>[2]Nordfyn!C41+[2]Nordfyn!C42+[2]Nordfyn!C43+[2]Nordfyn!C44</f>
        <v>2263309.65</v>
      </c>
      <c r="E33" s="80">
        <f>[2]Kerteminde!C41+[2]Kerteminde!C42+[2]Kerteminde!C43+[2]Kerteminde!C44</f>
        <v>1961535.02</v>
      </c>
      <c r="F33" s="80">
        <f>[2]Nyborg!C41+[2]Nyborg!C42+[2]Nyborg!C43+[2]Nyborg!C44</f>
        <v>2263309.65</v>
      </c>
      <c r="G33" s="83">
        <f>SUM(B33:F33)</f>
        <v>15088731</v>
      </c>
      <c r="H33" s="7">
        <f>'[2]TOTAL ESTIMAT'!C41+'[2]TOTAL ESTIMAT'!C42+'[2]TOTAL ESTIMAT'!C43+'[2]TOTAL ESTIMAT'!C44</f>
        <v>15088731</v>
      </c>
      <c r="I33" s="57">
        <f>G33-H33</f>
        <v>0</v>
      </c>
      <c r="J33" s="40"/>
      <c r="K33" s="40"/>
    </row>
    <row r="34" spans="1:11" x14ac:dyDescent="0.25">
      <c r="B34" s="80"/>
      <c r="C34" s="80"/>
      <c r="D34" s="80"/>
      <c r="G34" s="79"/>
      <c r="I34" s="40"/>
      <c r="J34" s="40"/>
      <c r="K34" s="40"/>
    </row>
    <row r="35" spans="1:11" x14ac:dyDescent="0.25">
      <c r="H35" s="7">
        <f>G29/4</f>
        <v>13968355.297499998</v>
      </c>
    </row>
    <row r="37" spans="1:11" s="58" customFormat="1" x14ac:dyDescent="0.25">
      <c r="A37" s="58" t="s">
        <v>446</v>
      </c>
      <c r="B37" s="84">
        <f>B25/G25</f>
        <v>0.42696216120825303</v>
      </c>
      <c r="C37" s="84">
        <f>C25/G25</f>
        <v>0.14019323813585494</v>
      </c>
      <c r="D37" s="84">
        <f>D25/G25</f>
        <v>0.15098751452227238</v>
      </c>
      <c r="E37" s="84">
        <f>E25/G25</f>
        <v>0.15342872689304254</v>
      </c>
      <c r="F37" s="84">
        <f>F25/G25</f>
        <v>0.12842835924057705</v>
      </c>
      <c r="G37" s="84"/>
      <c r="H37" s="59"/>
      <c r="I37" s="59"/>
      <c r="J37" s="59"/>
      <c r="K37" s="59"/>
    </row>
    <row r="41" spans="1:11" x14ac:dyDescent="0.25">
      <c r="A41" s="40" t="s">
        <v>463</v>
      </c>
      <c r="B41" s="85">
        <f>G41*B37</f>
        <v>23855836.665381402</v>
      </c>
      <c r="C41" s="85">
        <f>G41*C37</f>
        <v>7833075.8423545929</v>
      </c>
      <c r="D41" s="85">
        <f>G41*D37</f>
        <v>8436188.9933341667</v>
      </c>
      <c r="E41" s="80">
        <f>G41*E37</f>
        <v>8572587.8803404458</v>
      </c>
      <c r="F41" s="80">
        <f>G41*F37</f>
        <v>7175731.8085893895</v>
      </c>
      <c r="G41" s="80">
        <v>55873421.189999998</v>
      </c>
    </row>
    <row r="43" spans="1:11" x14ac:dyDescent="0.25">
      <c r="A43" s="40" t="s">
        <v>471</v>
      </c>
      <c r="B43" s="85">
        <f>G43*B37</f>
        <v>555050.80957072892</v>
      </c>
      <c r="C43" s="85">
        <f>G43*C37</f>
        <v>182251.20957661141</v>
      </c>
      <c r="D43" s="85">
        <f>G43*D37</f>
        <v>196283.76887895408</v>
      </c>
      <c r="E43" s="80">
        <f>G43*E37</f>
        <v>199457.34496095532</v>
      </c>
      <c r="F43" s="80">
        <f>G43*F37</f>
        <v>166956.86701275015</v>
      </c>
      <c r="G43" s="80">
        <v>1300000</v>
      </c>
    </row>
  </sheetData>
  <sheetProtection algorithmName="SHA-512" hashValue="8CANqJlvoll7vnym/HhABj5k9j0lGbhWJIjiVMwCPz4xCr8Jsf0j5A21RX0OZclt/MmE7eRd8TtdDjDKQg91oQ==" saltValue="gn2JnxfVIcNsejhH9p8xEA==" spinCount="100000" sheet="1"/>
  <mergeCells count="1">
    <mergeCell ref="E3:K4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246"/>
  <sheetViews>
    <sheetView topLeftCell="A57" zoomScaleNormal="100" workbookViewId="0">
      <selection activeCell="L145" sqref="L145"/>
    </sheetView>
  </sheetViews>
  <sheetFormatPr defaultRowHeight="15" x14ac:dyDescent="0.25"/>
  <cols>
    <col min="1" max="1" width="17.7109375" bestFit="1" customWidth="1"/>
    <col min="2" max="2" width="48.7109375" bestFit="1" customWidth="1"/>
    <col min="3" max="3" width="12.85546875" style="70" bestFit="1" customWidth="1"/>
    <col min="4" max="4" width="13.28515625" style="70" bestFit="1" customWidth="1"/>
    <col min="5" max="5" width="10.28515625" style="70" hidden="1" customWidth="1"/>
    <col min="6" max="6" width="19.42578125" style="70" hidden="1" customWidth="1"/>
    <col min="7" max="7" width="13.28515625" style="70" hidden="1" customWidth="1"/>
    <col min="8" max="8" width="13.28515625" style="51" bestFit="1" customWidth="1"/>
    <col min="9" max="9" width="13.28515625" style="103" bestFit="1" customWidth="1"/>
    <col min="10" max="10" width="13.28515625" style="89" bestFit="1" customWidth="1"/>
    <col min="11" max="11" width="13.28515625" style="103" bestFit="1" customWidth="1"/>
  </cols>
  <sheetData>
    <row r="1" spans="1:11" x14ac:dyDescent="0.25">
      <c r="A1" s="11" t="s">
        <v>0</v>
      </c>
      <c r="B1" s="10"/>
      <c r="J1" s="103"/>
    </row>
    <row r="2" spans="1:11" x14ac:dyDescent="0.25">
      <c r="A2" s="12" t="s">
        <v>1</v>
      </c>
      <c r="B2" s="12" t="s">
        <v>2</v>
      </c>
      <c r="J2" s="103"/>
    </row>
    <row r="3" spans="1:11" x14ac:dyDescent="0.25">
      <c r="A3" s="12" t="s">
        <v>3</v>
      </c>
      <c r="B3" s="12" t="s">
        <v>4</v>
      </c>
      <c r="J3" s="103"/>
    </row>
    <row r="4" spans="1:11" x14ac:dyDescent="0.25">
      <c r="A4" s="12" t="s">
        <v>412</v>
      </c>
      <c r="B4" s="12" t="s">
        <v>414</v>
      </c>
      <c r="J4" s="103"/>
    </row>
    <row r="5" spans="1:11" x14ac:dyDescent="0.25">
      <c r="J5" s="103"/>
    </row>
    <row r="6" spans="1:11" x14ac:dyDescent="0.25">
      <c r="A6" s="12" t="s">
        <v>5</v>
      </c>
      <c r="B6" s="12" t="s">
        <v>6</v>
      </c>
      <c r="J6" s="103"/>
    </row>
    <row r="7" spans="1:11" x14ac:dyDescent="0.25">
      <c r="J7" s="103"/>
    </row>
    <row r="8" spans="1:11" ht="30" x14ac:dyDescent="0.25">
      <c r="A8" s="10"/>
      <c r="B8" s="10"/>
      <c r="C8" s="71" t="s">
        <v>7</v>
      </c>
      <c r="D8" s="71" t="s">
        <v>8</v>
      </c>
      <c r="E8" s="71" t="s">
        <v>9</v>
      </c>
      <c r="F8" s="71" t="s">
        <v>10</v>
      </c>
      <c r="G8" s="71" t="s">
        <v>11</v>
      </c>
      <c r="H8" s="68" t="s">
        <v>428</v>
      </c>
      <c r="I8" s="118" t="s">
        <v>486</v>
      </c>
      <c r="J8" s="96" t="s">
        <v>472</v>
      </c>
      <c r="K8" s="96" t="s">
        <v>473</v>
      </c>
    </row>
    <row r="9" spans="1:11" x14ac:dyDescent="0.25">
      <c r="A9" s="13" t="s">
        <v>12</v>
      </c>
      <c r="B9" s="13" t="s">
        <v>13</v>
      </c>
      <c r="C9" s="71" t="s">
        <v>478</v>
      </c>
      <c r="D9" s="71">
        <v>2021</v>
      </c>
      <c r="E9" s="71"/>
      <c r="F9" s="71"/>
      <c r="G9" s="71"/>
      <c r="H9" s="68">
        <v>2021</v>
      </c>
      <c r="I9" s="96">
        <v>2021</v>
      </c>
      <c r="J9" s="95">
        <v>2022</v>
      </c>
      <c r="K9" s="96">
        <v>2023</v>
      </c>
    </row>
    <row r="10" spans="1:11" x14ac:dyDescent="0.25">
      <c r="A10" s="12" t="s">
        <v>12</v>
      </c>
      <c r="B10" s="12" t="s">
        <v>12</v>
      </c>
      <c r="I10" s="119"/>
      <c r="J10" s="119"/>
      <c r="K10" s="119"/>
    </row>
    <row r="11" spans="1:11" x14ac:dyDescent="0.25">
      <c r="A11" s="12" t="s">
        <v>14</v>
      </c>
      <c r="B11" s="12" t="s">
        <v>15</v>
      </c>
      <c r="C11" s="70">
        <v>1113425</v>
      </c>
      <c r="D11" s="70">
        <v>12806116</v>
      </c>
      <c r="E11" s="70">
        <v>91.31</v>
      </c>
      <c r="F11" s="70">
        <v>8.69</v>
      </c>
      <c r="G11" s="70">
        <v>11692691</v>
      </c>
      <c r="H11" s="51">
        <v>2226850</v>
      </c>
      <c r="I11" s="119">
        <f>I46</f>
        <v>2226850</v>
      </c>
      <c r="J11" s="93">
        <f>J46</f>
        <v>2226850</v>
      </c>
      <c r="K11" s="119">
        <f>K46</f>
        <v>2226850</v>
      </c>
    </row>
    <row r="12" spans="1:11" x14ac:dyDescent="0.25">
      <c r="A12" s="12" t="s">
        <v>16</v>
      </c>
      <c r="B12" s="12" t="s">
        <v>17</v>
      </c>
      <c r="C12" s="70">
        <v>13148</v>
      </c>
      <c r="G12" s="70">
        <v>-13148</v>
      </c>
      <c r="H12" s="51">
        <v>13398</v>
      </c>
      <c r="I12" s="119">
        <f>I59</f>
        <v>0</v>
      </c>
      <c r="J12" s="93">
        <f>J59</f>
        <v>0</v>
      </c>
      <c r="K12" s="119">
        <f>K59</f>
        <v>0</v>
      </c>
    </row>
    <row r="13" spans="1:11" x14ac:dyDescent="0.25">
      <c r="A13" s="12" t="s">
        <v>18</v>
      </c>
      <c r="B13" s="12" t="s">
        <v>19</v>
      </c>
      <c r="C13" s="70">
        <v>4644.5</v>
      </c>
      <c r="G13" s="70">
        <v>-4644.5</v>
      </c>
      <c r="H13" s="51">
        <v>4644.5</v>
      </c>
      <c r="I13" s="119">
        <f>I63</f>
        <v>0</v>
      </c>
      <c r="J13" s="93">
        <f>J63</f>
        <v>0</v>
      </c>
      <c r="K13" s="119">
        <f>K63</f>
        <v>0</v>
      </c>
    </row>
    <row r="14" spans="1:11" x14ac:dyDescent="0.25">
      <c r="A14" s="13" t="s">
        <v>20</v>
      </c>
      <c r="B14" s="13" t="s">
        <v>21</v>
      </c>
      <c r="C14" s="71">
        <v>1131217.5</v>
      </c>
      <c r="D14" s="71">
        <v>12806116</v>
      </c>
      <c r="E14" s="71">
        <v>91.17</v>
      </c>
      <c r="F14" s="71">
        <v>8.83</v>
      </c>
      <c r="G14" s="71">
        <v>11674898.5</v>
      </c>
      <c r="H14" s="68">
        <v>2244892.5</v>
      </c>
      <c r="I14" s="96">
        <f>SUM(I11:I13)</f>
        <v>2226850</v>
      </c>
      <c r="J14" s="95">
        <f>SUM(J11:J13)</f>
        <v>2226850</v>
      </c>
      <c r="K14" s="96">
        <f>SUM(K11:K13)</f>
        <v>2226850</v>
      </c>
    </row>
    <row r="15" spans="1:11" x14ac:dyDescent="0.25">
      <c r="A15" s="12" t="s">
        <v>12</v>
      </c>
      <c r="B15" s="12" t="s">
        <v>12</v>
      </c>
      <c r="I15" s="119"/>
      <c r="J15" s="119"/>
      <c r="K15" s="119"/>
    </row>
    <row r="16" spans="1:11" x14ac:dyDescent="0.25">
      <c r="A16" s="13" t="s">
        <v>12</v>
      </c>
      <c r="B16" s="13" t="s">
        <v>22</v>
      </c>
      <c r="C16" s="71"/>
      <c r="D16" s="71"/>
      <c r="E16" s="71"/>
      <c r="F16" s="71"/>
      <c r="G16" s="71"/>
      <c r="H16" s="68"/>
      <c r="I16" s="96"/>
      <c r="J16" s="95"/>
      <c r="K16" s="96"/>
    </row>
    <row r="17" spans="1:11" x14ac:dyDescent="0.25">
      <c r="A17" s="12" t="s">
        <v>23</v>
      </c>
      <c r="B17" s="12" t="s">
        <v>24</v>
      </c>
      <c r="I17" s="119"/>
      <c r="J17" s="93"/>
      <c r="K17" s="119"/>
    </row>
    <row r="18" spans="1:11" x14ac:dyDescent="0.25">
      <c r="A18" s="12" t="s">
        <v>25</v>
      </c>
      <c r="B18" s="12" t="s">
        <v>26</v>
      </c>
      <c r="C18" s="70">
        <v>-11383.84</v>
      </c>
      <c r="D18" s="70">
        <v>-378200</v>
      </c>
      <c r="E18" s="70">
        <v>96.99</v>
      </c>
      <c r="F18" s="70">
        <v>3.01</v>
      </c>
      <c r="G18" s="70">
        <v>-366816.16</v>
      </c>
      <c r="H18" s="51">
        <v>-11383.84</v>
      </c>
      <c r="I18" s="119">
        <f>I77</f>
        <v>0</v>
      </c>
      <c r="J18" s="93">
        <f>J77</f>
        <v>0</v>
      </c>
      <c r="K18" s="119">
        <f>K77</f>
        <v>0</v>
      </c>
    </row>
    <row r="19" spans="1:11" x14ac:dyDescent="0.25">
      <c r="A19" s="12" t="s">
        <v>27</v>
      </c>
      <c r="B19" s="12" t="s">
        <v>28</v>
      </c>
      <c r="I19" s="119"/>
      <c r="J19" s="93"/>
      <c r="K19" s="119"/>
    </row>
    <row r="20" spans="1:11" x14ac:dyDescent="0.25">
      <c r="A20" s="12" t="s">
        <v>12</v>
      </c>
      <c r="B20" s="12" t="s">
        <v>12</v>
      </c>
      <c r="I20" s="119"/>
      <c r="J20" s="93"/>
      <c r="K20" s="119"/>
    </row>
    <row r="21" spans="1:11" x14ac:dyDescent="0.25">
      <c r="A21" s="12" t="s">
        <v>29</v>
      </c>
      <c r="B21" s="12" t="s">
        <v>30</v>
      </c>
      <c r="C21" s="70">
        <v>-2651056.3199999998</v>
      </c>
      <c r="D21" s="70">
        <v>-7155613.6399999997</v>
      </c>
      <c r="E21" s="70">
        <v>62.95</v>
      </c>
      <c r="F21" s="70">
        <v>37.049999999999997</v>
      </c>
      <c r="G21" s="70">
        <v>-4504557.32</v>
      </c>
      <c r="H21" s="51">
        <v>-6242881.2000000011</v>
      </c>
      <c r="I21" s="119">
        <f>I123</f>
        <v>-4952603.4100000011</v>
      </c>
      <c r="J21" s="93">
        <f>J123</f>
        <v>-4952603.4100000011</v>
      </c>
      <c r="K21" s="119">
        <f>K123</f>
        <v>-4080448.6100000013</v>
      </c>
    </row>
    <row r="22" spans="1:11" x14ac:dyDescent="0.25">
      <c r="A22" s="13" t="s">
        <v>31</v>
      </c>
      <c r="B22" s="13" t="s">
        <v>32</v>
      </c>
      <c r="C22" s="71">
        <v>-2662440.16</v>
      </c>
      <c r="D22" s="71">
        <v>-7533813.6399999997</v>
      </c>
      <c r="E22" s="71">
        <v>64.66</v>
      </c>
      <c r="F22" s="71">
        <v>35.340000000000003</v>
      </c>
      <c r="G22" s="71">
        <v>-4871373.4800000004</v>
      </c>
      <c r="H22" s="68">
        <v>-6242881.2000000011</v>
      </c>
      <c r="I22" s="96">
        <f>I21</f>
        <v>-4952603.4100000011</v>
      </c>
      <c r="J22" s="95">
        <f>J21</f>
        <v>-4952603.4100000011</v>
      </c>
      <c r="K22" s="96">
        <f>K21</f>
        <v>-4080448.6100000013</v>
      </c>
    </row>
    <row r="23" spans="1:11" x14ac:dyDescent="0.25">
      <c r="A23" s="12" t="s">
        <v>12</v>
      </c>
      <c r="B23" s="12" t="s">
        <v>12</v>
      </c>
      <c r="I23" s="119"/>
      <c r="J23" s="93"/>
      <c r="K23" s="119"/>
    </row>
    <row r="24" spans="1:11" x14ac:dyDescent="0.25">
      <c r="A24" s="12" t="s">
        <v>33</v>
      </c>
      <c r="B24" s="12" t="s">
        <v>34</v>
      </c>
      <c r="C24" s="70">
        <v>1080493.52</v>
      </c>
      <c r="D24" s="70">
        <v>125464.36</v>
      </c>
      <c r="E24" s="70">
        <v>-761.2</v>
      </c>
      <c r="F24" s="70">
        <v>861.2</v>
      </c>
      <c r="G24" s="70">
        <v>-955029.16</v>
      </c>
      <c r="H24" s="51">
        <v>1109108.25</v>
      </c>
      <c r="I24" s="119">
        <f>I136</f>
        <v>42259.63</v>
      </c>
      <c r="J24" s="93">
        <f>J136</f>
        <v>42259.63</v>
      </c>
      <c r="K24" s="119">
        <f>K136</f>
        <v>42259.63</v>
      </c>
    </row>
    <row r="25" spans="1:11" x14ac:dyDescent="0.25">
      <c r="A25" s="12" t="s">
        <v>35</v>
      </c>
      <c r="B25" s="12" t="s">
        <v>36</v>
      </c>
      <c r="C25" s="70">
        <v>454043.64</v>
      </c>
      <c r="D25" s="70">
        <v>-5390293.1399999997</v>
      </c>
      <c r="E25" s="70">
        <v>108.42</v>
      </c>
      <c r="F25" s="70">
        <v>-8.42</v>
      </c>
      <c r="G25" s="70">
        <v>-5844336.7800000003</v>
      </c>
      <c r="H25" s="51">
        <v>2910951.8299999977</v>
      </c>
      <c r="I25" s="119">
        <f>I198</f>
        <v>1109186.9699999997</v>
      </c>
      <c r="J25" s="93">
        <f>J198</f>
        <v>2683493.7800000003</v>
      </c>
      <c r="K25" s="119">
        <f>K198</f>
        <v>1811338.9799999995</v>
      </c>
    </row>
    <row r="26" spans="1:11" x14ac:dyDescent="0.25">
      <c r="A26" s="12" t="s">
        <v>37</v>
      </c>
      <c r="B26" s="12" t="s">
        <v>38</v>
      </c>
      <c r="C26" s="70">
        <v>418.28</v>
      </c>
      <c r="G26" s="70">
        <v>-418.28</v>
      </c>
      <c r="H26" s="51">
        <v>418.28</v>
      </c>
      <c r="I26" s="119">
        <f>I209</f>
        <v>0</v>
      </c>
      <c r="J26" s="93">
        <f>J209</f>
        <v>0</v>
      </c>
      <c r="K26" s="119">
        <f>K209</f>
        <v>0</v>
      </c>
    </row>
    <row r="27" spans="1:11" x14ac:dyDescent="0.25">
      <c r="A27" s="12" t="s">
        <v>39</v>
      </c>
      <c r="B27" s="12" t="s">
        <v>40</v>
      </c>
      <c r="C27" s="70">
        <v>-3732.78</v>
      </c>
      <c r="D27" s="70">
        <v>-7473.58</v>
      </c>
      <c r="E27" s="70">
        <v>50.05</v>
      </c>
      <c r="F27" s="70">
        <v>49.95</v>
      </c>
      <c r="G27" s="70">
        <v>-3740.8</v>
      </c>
      <c r="H27" s="51">
        <v>-11105.82</v>
      </c>
      <c r="I27" s="119">
        <f>I219</f>
        <v>0</v>
      </c>
      <c r="J27" s="93">
        <f>J219</f>
        <v>0</v>
      </c>
      <c r="K27" s="119">
        <f>K219</f>
        <v>0</v>
      </c>
    </row>
    <row r="28" spans="1:11" x14ac:dyDescent="0.25">
      <c r="A28" s="12" t="s">
        <v>41</v>
      </c>
      <c r="B28" s="12" t="s">
        <v>42</v>
      </c>
      <c r="H28" s="51">
        <v>0</v>
      </c>
      <c r="I28" s="119">
        <f>I223</f>
        <v>0</v>
      </c>
      <c r="J28" s="93">
        <f>J223</f>
        <v>0</v>
      </c>
      <c r="K28" s="119">
        <f>K223</f>
        <v>0</v>
      </c>
    </row>
    <row r="29" spans="1:11" x14ac:dyDescent="0.25">
      <c r="A29" s="12" t="s">
        <v>43</v>
      </c>
      <c r="B29" s="12" t="s">
        <v>44</v>
      </c>
      <c r="H29" s="51">
        <v>0</v>
      </c>
      <c r="I29" s="119">
        <f>I227</f>
        <v>0</v>
      </c>
      <c r="J29" s="93">
        <f>J227</f>
        <v>0</v>
      </c>
      <c r="K29" s="119">
        <f>K227</f>
        <v>0</v>
      </c>
    </row>
    <row r="30" spans="1:11" x14ac:dyDescent="0.25">
      <c r="A30" s="12" t="s">
        <v>12</v>
      </c>
      <c r="B30" s="12" t="s">
        <v>12</v>
      </c>
      <c r="I30" s="119"/>
      <c r="J30" s="93"/>
      <c r="K30" s="119"/>
    </row>
    <row r="31" spans="1:11" ht="15.75" thickBot="1" x14ac:dyDescent="0.3">
      <c r="A31" s="14" t="s">
        <v>45</v>
      </c>
      <c r="B31" s="14" t="s">
        <v>46</v>
      </c>
      <c r="C31" s="72"/>
      <c r="D31" s="72"/>
      <c r="E31" s="72"/>
      <c r="F31" s="72"/>
      <c r="G31" s="72"/>
      <c r="H31" s="69">
        <v>-3.2214302336797118E-9</v>
      </c>
      <c r="I31" s="122">
        <f>I14+I18+I22+I24+I25+I26+I27</f>
        <v>-1574306.8100000015</v>
      </c>
      <c r="J31" s="101">
        <f>J14+J18+J22+J24+J25+J26+J27</f>
        <v>-9.3132257461547852E-10</v>
      </c>
      <c r="K31" s="122">
        <f>K14+K18+K22+K24+K25+K26+K27</f>
        <v>-1.862645149230957E-9</v>
      </c>
    </row>
    <row r="32" spans="1:11" ht="15.75" thickTop="1" x14ac:dyDescent="0.25">
      <c r="A32" s="12" t="s">
        <v>12</v>
      </c>
      <c r="B32" s="12" t="s">
        <v>12</v>
      </c>
      <c r="I32" s="119"/>
      <c r="J32" s="93"/>
      <c r="K32" s="119"/>
    </row>
    <row r="33" spans="1:14" x14ac:dyDescent="0.25">
      <c r="A33" s="12" t="s">
        <v>47</v>
      </c>
      <c r="B33" s="12" t="s">
        <v>48</v>
      </c>
      <c r="H33" s="51">
        <v>0</v>
      </c>
      <c r="I33" s="119">
        <f>I243</f>
        <v>0</v>
      </c>
      <c r="J33" s="93">
        <f>J243</f>
        <v>0</v>
      </c>
      <c r="K33" s="119">
        <f>K243</f>
        <v>0</v>
      </c>
    </row>
    <row r="34" spans="1:14" x14ac:dyDescent="0.25">
      <c r="A34" s="12" t="s">
        <v>12</v>
      </c>
      <c r="B34" s="12" t="s">
        <v>12</v>
      </c>
      <c r="I34" s="119"/>
      <c r="J34" s="93"/>
      <c r="K34" s="119"/>
    </row>
    <row r="35" spans="1:14" ht="15.75" thickBot="1" x14ac:dyDescent="0.3">
      <c r="A35" s="14" t="s">
        <v>12</v>
      </c>
      <c r="B35" s="14" t="s">
        <v>49</v>
      </c>
      <c r="C35" s="72"/>
      <c r="D35" s="72"/>
      <c r="E35" s="72"/>
      <c r="F35" s="72"/>
      <c r="G35" s="72"/>
      <c r="H35" s="69">
        <v>-3.2214302336797118E-9</v>
      </c>
      <c r="I35" s="122">
        <f>I31+I33</f>
        <v>-1574306.8100000015</v>
      </c>
      <c r="J35" s="101">
        <f>J31+J33</f>
        <v>-9.3132257461547852E-10</v>
      </c>
      <c r="K35" s="122">
        <f>K31+K33</f>
        <v>-1.862645149230957E-9</v>
      </c>
    </row>
    <row r="36" spans="1:14" ht="15.75" thickTop="1" x14ac:dyDescent="0.25">
      <c r="A36" s="12" t="s">
        <v>12</v>
      </c>
      <c r="B36" s="12" t="s">
        <v>12</v>
      </c>
    </row>
    <row r="37" spans="1:14" x14ac:dyDescent="0.25">
      <c r="A37" s="13" t="s">
        <v>12</v>
      </c>
      <c r="B37" s="13" t="s">
        <v>50</v>
      </c>
      <c r="C37" s="71"/>
      <c r="D37" s="71"/>
      <c r="E37" s="71"/>
      <c r="F37" s="71"/>
      <c r="G37" s="71"/>
      <c r="H37" s="68"/>
      <c r="I37" s="90"/>
      <c r="J37" s="127"/>
      <c r="K37" s="90"/>
    </row>
    <row r="38" spans="1:14" x14ac:dyDescent="0.25">
      <c r="A38" s="12" t="s">
        <v>12</v>
      </c>
      <c r="B38" s="12" t="s">
        <v>12</v>
      </c>
    </row>
    <row r="39" spans="1:14" x14ac:dyDescent="0.25">
      <c r="A39" s="13" t="s">
        <v>51</v>
      </c>
      <c r="B39" s="13" t="s">
        <v>52</v>
      </c>
      <c r="C39" s="71"/>
      <c r="D39" s="71"/>
      <c r="E39" s="71"/>
      <c r="F39" s="71"/>
      <c r="G39" s="71"/>
      <c r="H39" s="68"/>
      <c r="I39" s="90"/>
      <c r="J39" s="127"/>
      <c r="K39" s="90"/>
    </row>
    <row r="40" spans="1:14" x14ac:dyDescent="0.25">
      <c r="A40" s="12" t="s">
        <v>53</v>
      </c>
      <c r="B40" s="12" t="s">
        <v>54</v>
      </c>
      <c r="H40" s="67"/>
      <c r="I40" s="110"/>
      <c r="J40" s="128">
        <f>DATAARK!B8</f>
        <v>0</v>
      </c>
      <c r="K40" s="128">
        <f>DATAARK!B9</f>
        <v>0</v>
      </c>
      <c r="N40" s="40">
        <f t="shared" ref="N40:N45" si="0">IF(J40&gt;0,0,2)</f>
        <v>2</v>
      </c>
    </row>
    <row r="41" spans="1:14" x14ac:dyDescent="0.25">
      <c r="A41" s="12" t="s">
        <v>55</v>
      </c>
      <c r="B41" s="12" t="s">
        <v>56</v>
      </c>
      <c r="N41" s="40">
        <f t="shared" si="0"/>
        <v>2</v>
      </c>
    </row>
    <row r="42" spans="1:14" x14ac:dyDescent="0.25">
      <c r="A42" s="12" t="s">
        <v>57</v>
      </c>
      <c r="B42" s="12" t="s">
        <v>58</v>
      </c>
      <c r="N42" s="40">
        <f t="shared" si="0"/>
        <v>2</v>
      </c>
    </row>
    <row r="43" spans="1:14" x14ac:dyDescent="0.25">
      <c r="A43" s="12" t="s">
        <v>59</v>
      </c>
      <c r="B43" s="12" t="s">
        <v>60</v>
      </c>
      <c r="N43" s="40">
        <f t="shared" si="0"/>
        <v>2</v>
      </c>
    </row>
    <row r="44" spans="1:14" x14ac:dyDescent="0.25">
      <c r="A44" s="12" t="s">
        <v>61</v>
      </c>
      <c r="B44" s="12" t="s">
        <v>62</v>
      </c>
      <c r="C44" s="70">
        <v>1113425</v>
      </c>
      <c r="D44" s="70">
        <v>2226850</v>
      </c>
      <c r="E44" s="70">
        <v>50</v>
      </c>
      <c r="F44" s="70">
        <v>50</v>
      </c>
      <c r="G44" s="70">
        <v>1113425</v>
      </c>
      <c r="H44" s="51">
        <v>2226850</v>
      </c>
      <c r="I44" s="103">
        <f>C44*2</f>
        <v>2226850</v>
      </c>
      <c r="J44" s="129">
        <f>DATAARK!B10</f>
        <v>2226850</v>
      </c>
      <c r="K44" s="109">
        <f>DATAARK!B11</f>
        <v>2226850</v>
      </c>
      <c r="N44" s="40">
        <f t="shared" si="0"/>
        <v>0</v>
      </c>
    </row>
    <row r="45" spans="1:14" x14ac:dyDescent="0.25">
      <c r="A45" s="12" t="s">
        <v>63</v>
      </c>
      <c r="B45" s="12" t="s">
        <v>64</v>
      </c>
      <c r="D45" s="70">
        <v>10579266</v>
      </c>
      <c r="E45" s="70">
        <v>100</v>
      </c>
      <c r="G45" s="70">
        <v>10579266</v>
      </c>
      <c r="H45" s="51">
        <v>0</v>
      </c>
      <c r="I45" s="103">
        <v>0</v>
      </c>
      <c r="J45" s="129">
        <f>DATAARK!B12</f>
        <v>0</v>
      </c>
      <c r="K45" s="109">
        <f>DATAARK!B13</f>
        <v>0</v>
      </c>
      <c r="N45" s="40">
        <f t="shared" si="0"/>
        <v>2</v>
      </c>
    </row>
    <row r="46" spans="1:14" x14ac:dyDescent="0.25">
      <c r="A46" s="13" t="s">
        <v>65</v>
      </c>
      <c r="B46" s="13" t="s">
        <v>66</v>
      </c>
      <c r="C46" s="71">
        <v>1113425</v>
      </c>
      <c r="D46" s="71">
        <v>12806116</v>
      </c>
      <c r="E46" s="71">
        <v>91.31</v>
      </c>
      <c r="F46" s="71">
        <v>8.69</v>
      </c>
      <c r="G46" s="71">
        <v>11692691</v>
      </c>
      <c r="H46" s="68">
        <v>2226850</v>
      </c>
      <c r="I46" s="90">
        <f>SUM(I40:I45)</f>
        <v>2226850</v>
      </c>
      <c r="J46" s="127">
        <f>SUM(J40:J45)</f>
        <v>2226850</v>
      </c>
      <c r="K46" s="90">
        <f>SUM(K40:K45)</f>
        <v>2226850</v>
      </c>
    </row>
    <row r="47" spans="1:14" x14ac:dyDescent="0.25">
      <c r="A47" s="12" t="s">
        <v>12</v>
      </c>
      <c r="B47" s="12" t="s">
        <v>12</v>
      </c>
    </row>
    <row r="48" spans="1:14" x14ac:dyDescent="0.25">
      <c r="A48" s="13" t="s">
        <v>67</v>
      </c>
      <c r="B48" s="13" t="s">
        <v>68</v>
      </c>
      <c r="C48" s="71"/>
      <c r="D48" s="71"/>
      <c r="E48" s="71"/>
      <c r="F48" s="71"/>
      <c r="G48" s="71"/>
      <c r="H48" s="68"/>
      <c r="I48" s="90"/>
      <c r="J48" s="127"/>
      <c r="K48" s="90"/>
      <c r="N48" s="40"/>
    </row>
    <row r="49" spans="1:14" x14ac:dyDescent="0.25">
      <c r="A49" s="12" t="s">
        <v>69</v>
      </c>
      <c r="B49" s="12" t="s">
        <v>70</v>
      </c>
      <c r="J49" s="89">
        <f>I49*DATAARK!$B$3</f>
        <v>0</v>
      </c>
      <c r="K49" s="89">
        <f>J49*DATAARK!$C$3</f>
        <v>0</v>
      </c>
      <c r="N49" s="40">
        <f t="shared" ref="N49:N58" si="1">IF(J49&gt;0,0,2)</f>
        <v>2</v>
      </c>
    </row>
    <row r="50" spans="1:14" x14ac:dyDescent="0.25">
      <c r="A50" s="12" t="s">
        <v>71</v>
      </c>
      <c r="B50" s="12" t="s">
        <v>72</v>
      </c>
      <c r="J50" s="89">
        <f>I50*DATAARK!$B$3</f>
        <v>0</v>
      </c>
      <c r="K50" s="89">
        <f>J50*DATAARK!$C$3</f>
        <v>0</v>
      </c>
      <c r="N50" s="40">
        <f t="shared" si="1"/>
        <v>2</v>
      </c>
    </row>
    <row r="51" spans="1:14" x14ac:dyDescent="0.25">
      <c r="A51" s="12" t="s">
        <v>73</v>
      </c>
      <c r="B51" s="12" t="s">
        <v>74</v>
      </c>
      <c r="J51" s="89">
        <f>I51*DATAARK!$B$3</f>
        <v>0</v>
      </c>
      <c r="K51" s="89">
        <f>J51*DATAARK!$C$3</f>
        <v>0</v>
      </c>
      <c r="N51" s="40">
        <f t="shared" si="1"/>
        <v>2</v>
      </c>
    </row>
    <row r="52" spans="1:14" x14ac:dyDescent="0.25">
      <c r="A52" s="12" t="s">
        <v>75</v>
      </c>
      <c r="B52" s="12" t="s">
        <v>76</v>
      </c>
      <c r="J52" s="89">
        <f>I52*DATAARK!$B$3</f>
        <v>0</v>
      </c>
      <c r="K52" s="89">
        <f>J52*DATAARK!$C$3</f>
        <v>0</v>
      </c>
      <c r="N52" s="40">
        <f t="shared" si="1"/>
        <v>2</v>
      </c>
    </row>
    <row r="53" spans="1:14" x14ac:dyDescent="0.25">
      <c r="A53" s="12" t="s">
        <v>77</v>
      </c>
      <c r="B53" s="12" t="s">
        <v>78</v>
      </c>
      <c r="J53" s="89">
        <f>I53*DATAARK!$B$3</f>
        <v>0</v>
      </c>
      <c r="K53" s="89">
        <f>J53*DATAARK!$C$3</f>
        <v>0</v>
      </c>
      <c r="N53" s="40">
        <f t="shared" si="1"/>
        <v>2</v>
      </c>
    </row>
    <row r="54" spans="1:14" x14ac:dyDescent="0.25">
      <c r="A54" s="12" t="s">
        <v>79</v>
      </c>
      <c r="B54" s="12" t="s">
        <v>80</v>
      </c>
      <c r="J54" s="89">
        <f>I54*DATAARK!$B$3</f>
        <v>0</v>
      </c>
      <c r="K54" s="89">
        <f>J54*DATAARK!$C$3</f>
        <v>0</v>
      </c>
      <c r="N54" s="40">
        <f t="shared" si="1"/>
        <v>2</v>
      </c>
    </row>
    <row r="55" spans="1:14" x14ac:dyDescent="0.25">
      <c r="A55" s="12" t="s">
        <v>81</v>
      </c>
      <c r="B55" s="12" t="s">
        <v>82</v>
      </c>
      <c r="C55" s="70">
        <v>3198</v>
      </c>
      <c r="G55" s="70">
        <v>-3198</v>
      </c>
      <c r="H55" s="51">
        <v>3198</v>
      </c>
      <c r="J55" s="89">
        <f>I55*DATAARK!$B$3</f>
        <v>0</v>
      </c>
      <c r="K55" s="89">
        <f>J55*DATAARK!$C$3</f>
        <v>0</v>
      </c>
      <c r="N55" s="40">
        <f t="shared" si="1"/>
        <v>2</v>
      </c>
    </row>
    <row r="56" spans="1:14" x14ac:dyDescent="0.25">
      <c r="A56" s="12" t="s">
        <v>83</v>
      </c>
      <c r="B56" s="12" t="s">
        <v>84</v>
      </c>
      <c r="C56" s="70">
        <v>3600</v>
      </c>
      <c r="G56" s="70">
        <v>-3600</v>
      </c>
      <c r="H56" s="51">
        <v>3600</v>
      </c>
      <c r="J56" s="89">
        <f>I56*DATAARK!$B$3</f>
        <v>0</v>
      </c>
      <c r="K56" s="89">
        <f>J56*DATAARK!$C$3</f>
        <v>0</v>
      </c>
      <c r="N56" s="40">
        <f t="shared" si="1"/>
        <v>2</v>
      </c>
    </row>
    <row r="57" spans="1:14" x14ac:dyDescent="0.25">
      <c r="A57" s="12" t="s">
        <v>85</v>
      </c>
      <c r="B57" s="12" t="s">
        <v>86</v>
      </c>
      <c r="C57" s="70">
        <v>6350</v>
      </c>
      <c r="G57" s="70">
        <v>-6350</v>
      </c>
      <c r="H57" s="51">
        <v>6600</v>
      </c>
      <c r="J57" s="89">
        <f>I57*DATAARK!$B$3</f>
        <v>0</v>
      </c>
      <c r="K57" s="89">
        <f>J57*DATAARK!$C$3</f>
        <v>0</v>
      </c>
      <c r="N57" s="40">
        <f t="shared" si="1"/>
        <v>2</v>
      </c>
    </row>
    <row r="58" spans="1:14" x14ac:dyDescent="0.25">
      <c r="A58" s="12" t="s">
        <v>87</v>
      </c>
      <c r="B58" s="12" t="s">
        <v>88</v>
      </c>
      <c r="J58" s="89">
        <f>I58*DATAARK!$B$3</f>
        <v>0</v>
      </c>
      <c r="K58" s="89">
        <f>J58*DATAARK!$C$3</f>
        <v>0</v>
      </c>
      <c r="N58" s="40">
        <f t="shared" si="1"/>
        <v>2</v>
      </c>
    </row>
    <row r="59" spans="1:14" x14ac:dyDescent="0.25">
      <c r="A59" s="13" t="s">
        <v>89</v>
      </c>
      <c r="B59" s="13" t="s">
        <v>17</v>
      </c>
      <c r="C59" s="71">
        <v>13148</v>
      </c>
      <c r="D59" s="71"/>
      <c r="E59" s="71"/>
      <c r="F59" s="71"/>
      <c r="G59" s="71">
        <v>-13148</v>
      </c>
      <c r="H59" s="68">
        <v>13398</v>
      </c>
      <c r="I59" s="90">
        <f>SUM(I49:I58)</f>
        <v>0</v>
      </c>
      <c r="J59" s="90">
        <f>SUM(J49:J58)</f>
        <v>0</v>
      </c>
      <c r="K59" s="90">
        <f>SUM(K49:K58)</f>
        <v>0</v>
      </c>
      <c r="N59" s="40"/>
    </row>
    <row r="60" spans="1:14" x14ac:dyDescent="0.25">
      <c r="A60" s="12" t="s">
        <v>12</v>
      </c>
      <c r="B60" s="12" t="s">
        <v>12</v>
      </c>
      <c r="J60" s="89">
        <v>0</v>
      </c>
    </row>
    <row r="61" spans="1:14" x14ac:dyDescent="0.25">
      <c r="A61" s="13" t="s">
        <v>90</v>
      </c>
      <c r="B61" s="13" t="s">
        <v>91</v>
      </c>
      <c r="C61" s="71"/>
      <c r="D61" s="71"/>
      <c r="E61" s="71"/>
      <c r="F61" s="71"/>
      <c r="G61" s="71"/>
      <c r="H61" s="68"/>
      <c r="I61" s="90"/>
      <c r="J61" s="89">
        <v>0</v>
      </c>
      <c r="K61" s="90"/>
    </row>
    <row r="62" spans="1:14" x14ac:dyDescent="0.25">
      <c r="A62" s="12" t="s">
        <v>92</v>
      </c>
      <c r="B62" s="12" t="s">
        <v>93</v>
      </c>
      <c r="C62" s="70">
        <v>4644.5</v>
      </c>
      <c r="G62" s="70">
        <v>-4644.5</v>
      </c>
      <c r="H62" s="51">
        <v>4644.5</v>
      </c>
      <c r="J62" s="89">
        <f>I62*DATAARK!$B$3</f>
        <v>0</v>
      </c>
      <c r="K62" s="89">
        <f>J62*DATAARK!$C$3</f>
        <v>0</v>
      </c>
      <c r="N62" s="40">
        <f>IF(J62&gt;0,0,2)</f>
        <v>2</v>
      </c>
    </row>
    <row r="63" spans="1:14" x14ac:dyDescent="0.25">
      <c r="A63" s="13" t="s">
        <v>94</v>
      </c>
      <c r="B63" s="13" t="s">
        <v>95</v>
      </c>
      <c r="C63" s="71">
        <v>4644.5</v>
      </c>
      <c r="D63" s="71"/>
      <c r="E63" s="71"/>
      <c r="F63" s="71"/>
      <c r="G63" s="71">
        <v>-4644.5</v>
      </c>
      <c r="H63" s="68">
        <v>4644.5</v>
      </c>
      <c r="I63" s="90">
        <f>I62</f>
        <v>0</v>
      </c>
      <c r="J63" s="90">
        <f>J62</f>
        <v>0</v>
      </c>
      <c r="K63" s="90">
        <f>K62</f>
        <v>0</v>
      </c>
    </row>
    <row r="64" spans="1:14" x14ac:dyDescent="0.25">
      <c r="A64" s="12" t="s">
        <v>12</v>
      </c>
      <c r="B64" s="12" t="s">
        <v>12</v>
      </c>
    </row>
    <row r="65" spans="1:14" x14ac:dyDescent="0.25">
      <c r="A65" s="13" t="s">
        <v>96</v>
      </c>
      <c r="B65" s="13" t="s">
        <v>97</v>
      </c>
      <c r="C65" s="71">
        <v>1131217.5</v>
      </c>
      <c r="D65" s="71">
        <v>12806116</v>
      </c>
      <c r="E65" s="71">
        <v>91.17</v>
      </c>
      <c r="F65" s="71">
        <v>8.83</v>
      </c>
      <c r="G65" s="71">
        <v>11674898.5</v>
      </c>
      <c r="H65" s="68">
        <v>2244892.5</v>
      </c>
      <c r="I65" s="90">
        <f>I46+I59+I63</f>
        <v>2226850</v>
      </c>
      <c r="J65" s="90">
        <f>J46+J59+J63</f>
        <v>2226850</v>
      </c>
      <c r="K65" s="90">
        <f>K46+K59+K63</f>
        <v>2226850</v>
      </c>
    </row>
    <row r="66" spans="1:14" x14ac:dyDescent="0.25">
      <c r="A66" s="12" t="s">
        <v>12</v>
      </c>
      <c r="B66" s="12" t="s">
        <v>12</v>
      </c>
    </row>
    <row r="67" spans="1:14" x14ac:dyDescent="0.25">
      <c r="A67" s="13" t="s">
        <v>98</v>
      </c>
      <c r="B67" s="13" t="s">
        <v>99</v>
      </c>
      <c r="C67" s="71"/>
      <c r="D67" s="71"/>
      <c r="E67" s="71"/>
      <c r="F67" s="71"/>
      <c r="G67" s="71"/>
      <c r="H67" s="68"/>
      <c r="I67" s="90"/>
      <c r="J67" s="127"/>
      <c r="K67" s="90"/>
    </row>
    <row r="68" spans="1:14" x14ac:dyDescent="0.25">
      <c r="A68" s="12" t="s">
        <v>100</v>
      </c>
      <c r="B68" s="12" t="s">
        <v>101</v>
      </c>
      <c r="J68" s="89">
        <f>I68*DATAARK!$B$3</f>
        <v>0</v>
      </c>
      <c r="K68" s="89">
        <f>J68*DATAARK!$C$3</f>
        <v>0</v>
      </c>
      <c r="N68" s="40">
        <f>IF(J68&gt;0,1,0)</f>
        <v>0</v>
      </c>
    </row>
    <row r="69" spans="1:14" x14ac:dyDescent="0.25">
      <c r="A69" s="12" t="s">
        <v>102</v>
      </c>
      <c r="B69" s="12" t="s">
        <v>103</v>
      </c>
      <c r="J69" s="89">
        <f>I69*DATAARK!$B$3</f>
        <v>0</v>
      </c>
      <c r="K69" s="89">
        <f>J69*DATAARK!$C$3</f>
        <v>0</v>
      </c>
      <c r="N69" s="40">
        <f>IF(J69&gt;0,1,0)</f>
        <v>0</v>
      </c>
    </row>
    <row r="70" spans="1:14" x14ac:dyDescent="0.25">
      <c r="A70" s="13" t="s">
        <v>104</v>
      </c>
      <c r="B70" s="13" t="s">
        <v>105</v>
      </c>
      <c r="C70" s="71"/>
      <c r="D70" s="71"/>
      <c r="E70" s="71"/>
      <c r="F70" s="71"/>
      <c r="G70" s="71"/>
      <c r="H70" s="68"/>
      <c r="I70" s="90"/>
      <c r="J70" s="127"/>
      <c r="K70" s="90"/>
    </row>
    <row r="71" spans="1:14" x14ac:dyDescent="0.25">
      <c r="A71" s="12" t="s">
        <v>12</v>
      </c>
      <c r="B71" s="12" t="s">
        <v>12</v>
      </c>
    </row>
    <row r="72" spans="1:14" x14ac:dyDescent="0.25">
      <c r="A72" s="13" t="s">
        <v>106</v>
      </c>
      <c r="B72" s="13" t="s">
        <v>107</v>
      </c>
      <c r="C72" s="71"/>
      <c r="D72" s="71"/>
      <c r="E72" s="71"/>
      <c r="F72" s="71"/>
      <c r="G72" s="71"/>
      <c r="H72" s="68"/>
      <c r="I72" s="90"/>
      <c r="J72" s="127"/>
      <c r="K72" s="90"/>
    </row>
    <row r="73" spans="1:14" x14ac:dyDescent="0.25">
      <c r="A73" s="12" t="s">
        <v>108</v>
      </c>
      <c r="B73" s="12" t="s">
        <v>109</v>
      </c>
      <c r="D73" s="70">
        <v>-378200</v>
      </c>
      <c r="E73" s="70">
        <v>100</v>
      </c>
      <c r="G73" s="70">
        <v>-378200</v>
      </c>
      <c r="J73" s="89">
        <f>I73*DATAARK!$B$3</f>
        <v>0</v>
      </c>
      <c r="K73" s="89">
        <f>J73*DATAARK!$C$3</f>
        <v>0</v>
      </c>
      <c r="N73" s="40">
        <f>IF(J73&gt;0,1,0)</f>
        <v>0</v>
      </c>
    </row>
    <row r="74" spans="1:14" x14ac:dyDescent="0.25">
      <c r="A74" s="12" t="s">
        <v>110</v>
      </c>
      <c r="B74" s="12" t="s">
        <v>111</v>
      </c>
      <c r="J74" s="89">
        <f>I74*DATAARK!$B$3</f>
        <v>0</v>
      </c>
      <c r="K74" s="89">
        <f>J74*DATAARK!$C$3</f>
        <v>0</v>
      </c>
      <c r="N74" s="40">
        <f>IF(J74&gt;0,1,0)</f>
        <v>0</v>
      </c>
    </row>
    <row r="75" spans="1:14" x14ac:dyDescent="0.25">
      <c r="A75" s="12" t="s">
        <v>112</v>
      </c>
      <c r="B75" s="12" t="s">
        <v>113</v>
      </c>
      <c r="J75" s="89">
        <f>I75*DATAARK!$B$3</f>
        <v>0</v>
      </c>
      <c r="K75" s="89">
        <f>J75*DATAARK!$C$3</f>
        <v>0</v>
      </c>
      <c r="N75" s="40">
        <f>IF(J75&gt;0,1,0)</f>
        <v>0</v>
      </c>
    </row>
    <row r="76" spans="1:14" x14ac:dyDescent="0.25">
      <c r="A76" s="12" t="s">
        <v>114</v>
      </c>
      <c r="B76" s="12" t="s">
        <v>115</v>
      </c>
      <c r="C76" s="70">
        <v>-11383.84</v>
      </c>
      <c r="G76" s="70">
        <v>11383.84</v>
      </c>
      <c r="H76" s="51">
        <v>-11383.84</v>
      </c>
      <c r="J76" s="89">
        <f>I76*DATAARK!$B$3</f>
        <v>0</v>
      </c>
      <c r="K76" s="89">
        <f>J76*DATAARK!$C$3</f>
        <v>0</v>
      </c>
      <c r="N76" s="40">
        <f>IF(J76&gt;0,1,0)</f>
        <v>0</v>
      </c>
    </row>
    <row r="77" spans="1:14" x14ac:dyDescent="0.25">
      <c r="A77" s="13" t="s">
        <v>116</v>
      </c>
      <c r="B77" s="13" t="s">
        <v>117</v>
      </c>
      <c r="C77" s="71">
        <v>-11383.84</v>
      </c>
      <c r="D77" s="71">
        <v>-378200</v>
      </c>
      <c r="E77" s="71">
        <v>96.99</v>
      </c>
      <c r="F77" s="71">
        <v>3.01</v>
      </c>
      <c r="G77" s="71">
        <v>-366816.16</v>
      </c>
      <c r="H77" s="68">
        <v>-11383.84</v>
      </c>
      <c r="I77" s="90">
        <f>SUM(I73:I76)</f>
        <v>0</v>
      </c>
      <c r="J77" s="127">
        <f>SUM(J73:J76)</f>
        <v>0</v>
      </c>
      <c r="K77" s="90">
        <f>SUM(K73:K76)</f>
        <v>0</v>
      </c>
    </row>
    <row r="78" spans="1:14" x14ac:dyDescent="0.25">
      <c r="A78" s="12" t="s">
        <v>12</v>
      </c>
      <c r="B78" s="12" t="s">
        <v>12</v>
      </c>
    </row>
    <row r="79" spans="1:14" x14ac:dyDescent="0.25">
      <c r="A79" s="13" t="s">
        <v>118</v>
      </c>
      <c r="B79" s="13" t="s">
        <v>119</v>
      </c>
      <c r="C79" s="71"/>
      <c r="D79" s="71"/>
      <c r="E79" s="71"/>
      <c r="F79" s="71"/>
      <c r="G79" s="71"/>
      <c r="H79" s="68"/>
      <c r="I79" s="90"/>
      <c r="J79" s="127"/>
      <c r="K79" s="90"/>
    </row>
    <row r="80" spans="1:14" x14ac:dyDescent="0.25">
      <c r="A80" s="12" t="s">
        <v>120</v>
      </c>
      <c r="B80" s="12" t="s">
        <v>121</v>
      </c>
      <c r="N80" s="40">
        <f>IF(J80&gt;0,1,0)</f>
        <v>0</v>
      </c>
    </row>
    <row r="81" spans="1:14" x14ac:dyDescent="0.25">
      <c r="A81" s="12" t="s">
        <v>122</v>
      </c>
      <c r="B81" s="12" t="s">
        <v>123</v>
      </c>
      <c r="N81" s="40">
        <f>IF(J81&gt;0,1,0)</f>
        <v>0</v>
      </c>
    </row>
    <row r="82" spans="1:14" x14ac:dyDescent="0.25">
      <c r="A82" s="13" t="s">
        <v>124</v>
      </c>
      <c r="B82" s="13" t="s">
        <v>125</v>
      </c>
      <c r="C82" s="71"/>
      <c r="D82" s="71"/>
      <c r="E82" s="71"/>
      <c r="F82" s="71"/>
      <c r="G82" s="71"/>
      <c r="H82" s="68"/>
      <c r="I82" s="90"/>
      <c r="J82" s="127"/>
      <c r="K82" s="90"/>
    </row>
    <row r="83" spans="1:14" x14ac:dyDescent="0.25">
      <c r="A83" s="12" t="s">
        <v>12</v>
      </c>
      <c r="B83" s="12" t="s">
        <v>12</v>
      </c>
    </row>
    <row r="84" spans="1:14" x14ac:dyDescent="0.25">
      <c r="A84" s="13" t="s">
        <v>126</v>
      </c>
      <c r="B84" s="13" t="s">
        <v>30</v>
      </c>
      <c r="C84" s="71"/>
      <c r="D84" s="71"/>
      <c r="E84" s="71"/>
      <c r="F84" s="71"/>
      <c r="G84" s="71"/>
      <c r="H84" s="68"/>
      <c r="I84" s="90"/>
      <c r="J84" s="127"/>
      <c r="K84" s="90"/>
    </row>
    <row r="85" spans="1:14" x14ac:dyDescent="0.25">
      <c r="A85" s="12" t="s">
        <v>127</v>
      </c>
      <c r="B85" s="12" t="s">
        <v>128</v>
      </c>
      <c r="J85" s="89">
        <f>I85*DATAARK!$B$4</f>
        <v>0</v>
      </c>
      <c r="K85" s="89">
        <f>J85*DATAARK!$C$4</f>
        <v>0</v>
      </c>
      <c r="L85" s="7"/>
      <c r="N85" s="40">
        <f t="shared" ref="N85:N106" si="2">IF(J85&gt;0,1,0)</f>
        <v>0</v>
      </c>
    </row>
    <row r="86" spans="1:14" x14ac:dyDescent="0.25">
      <c r="A86" s="12" t="s">
        <v>129</v>
      </c>
      <c r="B86" s="12" t="s">
        <v>130</v>
      </c>
      <c r="C86" s="70">
        <v>-447361.2</v>
      </c>
      <c r="D86" s="70">
        <v>-517338.9</v>
      </c>
      <c r="E86" s="70">
        <v>13.53</v>
      </c>
      <c r="F86" s="70">
        <v>86.47</v>
      </c>
      <c r="G86" s="70">
        <v>-69977.7</v>
      </c>
      <c r="H86" s="51">
        <v>-894722.4</v>
      </c>
      <c r="I86" s="103">
        <f>C86*2</f>
        <v>-894722.4</v>
      </c>
      <c r="J86" s="89">
        <f>I86*DATAARK!$B$4</f>
        <v>-894722.4</v>
      </c>
      <c r="K86" s="89">
        <f>J86*DATAARK!$C$4</f>
        <v>-894722.4</v>
      </c>
      <c r="N86" s="40">
        <f t="shared" si="2"/>
        <v>0</v>
      </c>
    </row>
    <row r="87" spans="1:14" x14ac:dyDescent="0.25">
      <c r="A87" s="12" t="s">
        <v>131</v>
      </c>
      <c r="B87" s="12" t="s">
        <v>132</v>
      </c>
      <c r="J87" s="89">
        <f>I87*DATAARK!$B$4</f>
        <v>0</v>
      </c>
      <c r="K87" s="89">
        <f>J87*DATAARK!$C$4</f>
        <v>0</v>
      </c>
      <c r="N87" s="40">
        <f t="shared" si="2"/>
        <v>0</v>
      </c>
    </row>
    <row r="88" spans="1:14" x14ac:dyDescent="0.25">
      <c r="A88" s="12" t="s">
        <v>133</v>
      </c>
      <c r="B88" s="12" t="s">
        <v>134</v>
      </c>
      <c r="J88" s="89">
        <f>I88*DATAARK!$B$4</f>
        <v>0</v>
      </c>
      <c r="K88" s="89">
        <f>J88*DATAARK!$C$4</f>
        <v>0</v>
      </c>
      <c r="N88" s="40">
        <f t="shared" si="2"/>
        <v>0</v>
      </c>
    </row>
    <row r="89" spans="1:14" x14ac:dyDescent="0.25">
      <c r="A89" s="12" t="s">
        <v>135</v>
      </c>
      <c r="B89" s="12" t="s">
        <v>136</v>
      </c>
      <c r="J89" s="89">
        <f>I89*DATAARK!$B$4</f>
        <v>0</v>
      </c>
      <c r="K89" s="89">
        <f>J89*DATAARK!$C$4</f>
        <v>0</v>
      </c>
      <c r="N89" s="40">
        <f t="shared" si="2"/>
        <v>0</v>
      </c>
    </row>
    <row r="90" spans="1:14" x14ac:dyDescent="0.25">
      <c r="A90" s="12" t="s">
        <v>137</v>
      </c>
      <c r="B90" s="12" t="s">
        <v>138</v>
      </c>
      <c r="C90" s="70">
        <v>-3426171.89</v>
      </c>
      <c r="D90" s="70">
        <v>-5487463.1699999999</v>
      </c>
      <c r="E90" s="70">
        <v>37.56</v>
      </c>
      <c r="F90" s="70">
        <v>62.44</v>
      </c>
      <c r="G90" s="70">
        <v>-2061291.28</v>
      </c>
      <c r="H90" s="51">
        <v>-6794150.6500000004</v>
      </c>
      <c r="I90" s="109">
        <v>-5888825.6100000003</v>
      </c>
      <c r="J90" s="129">
        <f>I90*DATAARK!$B$4</f>
        <v>-5888825.6100000003</v>
      </c>
      <c r="K90" s="129">
        <v>-5256125.7</v>
      </c>
      <c r="M90" t="s">
        <v>500</v>
      </c>
      <c r="N90" s="40">
        <f t="shared" si="2"/>
        <v>0</v>
      </c>
    </row>
    <row r="91" spans="1:14" x14ac:dyDescent="0.25">
      <c r="A91" s="12" t="s">
        <v>139</v>
      </c>
      <c r="B91" s="12" t="s">
        <v>140</v>
      </c>
      <c r="J91" s="89">
        <f>I91*DATAARK!$B$4</f>
        <v>0</v>
      </c>
      <c r="K91" s="89">
        <f>J91*DATAARK!$C$4</f>
        <v>0</v>
      </c>
      <c r="N91" s="40">
        <f t="shared" si="2"/>
        <v>0</v>
      </c>
    </row>
    <row r="92" spans="1:14" x14ac:dyDescent="0.25">
      <c r="A92" s="12" t="s">
        <v>141</v>
      </c>
      <c r="B92" s="12" t="s">
        <v>142</v>
      </c>
      <c r="J92" s="89">
        <f>I92*DATAARK!$B$4</f>
        <v>0</v>
      </c>
      <c r="K92" s="89">
        <f>J92*DATAARK!$C$4</f>
        <v>0</v>
      </c>
      <c r="N92" s="40">
        <f t="shared" si="2"/>
        <v>0</v>
      </c>
    </row>
    <row r="93" spans="1:14" x14ac:dyDescent="0.25">
      <c r="A93" s="12" t="s">
        <v>143</v>
      </c>
      <c r="B93" s="12" t="s">
        <v>144</v>
      </c>
      <c r="J93" s="89">
        <f>I93*DATAARK!$B$4</f>
        <v>0</v>
      </c>
      <c r="K93" s="89">
        <f>J93*DATAARK!$C$4</f>
        <v>0</v>
      </c>
      <c r="N93" s="40">
        <f t="shared" si="2"/>
        <v>0</v>
      </c>
    </row>
    <row r="94" spans="1:14" x14ac:dyDescent="0.25">
      <c r="A94" s="12" t="s">
        <v>145</v>
      </c>
      <c r="B94" s="12" t="s">
        <v>146</v>
      </c>
      <c r="H94" s="51">
        <v>-220000</v>
      </c>
      <c r="J94" s="89">
        <f>I94*DATAARK!$B$4</f>
        <v>0</v>
      </c>
      <c r="K94" s="89">
        <f>J94*DATAARK!$C$4</f>
        <v>0</v>
      </c>
      <c r="N94" s="40">
        <f t="shared" si="2"/>
        <v>0</v>
      </c>
    </row>
    <row r="95" spans="1:14" x14ac:dyDescent="0.25">
      <c r="A95" s="12" t="s">
        <v>147</v>
      </c>
      <c r="B95" s="12" t="s">
        <v>148</v>
      </c>
      <c r="J95" s="89">
        <f>I95*DATAARK!$B$4</f>
        <v>0</v>
      </c>
      <c r="K95" s="89">
        <f>J95*DATAARK!$C$4</f>
        <v>0</v>
      </c>
      <c r="N95" s="40">
        <f t="shared" si="2"/>
        <v>0</v>
      </c>
    </row>
    <row r="96" spans="1:14" x14ac:dyDescent="0.25">
      <c r="A96" s="12" t="s">
        <v>149</v>
      </c>
      <c r="B96" s="12" t="s">
        <v>150</v>
      </c>
      <c r="J96" s="89">
        <f>I96*DATAARK!$B$4</f>
        <v>0</v>
      </c>
      <c r="K96" s="89">
        <f>J96*DATAARK!$C$4</f>
        <v>0</v>
      </c>
      <c r="N96" s="40">
        <f t="shared" si="2"/>
        <v>0</v>
      </c>
    </row>
    <row r="97" spans="1:14" x14ac:dyDescent="0.25">
      <c r="A97" s="12" t="s">
        <v>151</v>
      </c>
      <c r="B97" s="12" t="s">
        <v>152</v>
      </c>
      <c r="J97" s="89">
        <f>I97*DATAARK!$B$4</f>
        <v>0</v>
      </c>
      <c r="K97" s="89">
        <f>J97*DATAARK!$C$4</f>
        <v>0</v>
      </c>
      <c r="N97" s="40">
        <f t="shared" si="2"/>
        <v>0</v>
      </c>
    </row>
    <row r="98" spans="1:14" x14ac:dyDescent="0.25">
      <c r="A98" s="12" t="s">
        <v>153</v>
      </c>
      <c r="B98" s="12" t="s">
        <v>154</v>
      </c>
      <c r="J98" s="89">
        <f>I98*DATAARK!$B$4</f>
        <v>0</v>
      </c>
      <c r="K98" s="89">
        <f>J98*DATAARK!$C$4</f>
        <v>0</v>
      </c>
      <c r="N98" s="40">
        <f t="shared" si="2"/>
        <v>0</v>
      </c>
    </row>
    <row r="99" spans="1:14" x14ac:dyDescent="0.25">
      <c r="A99" s="12" t="s">
        <v>155</v>
      </c>
      <c r="B99" s="12" t="s">
        <v>156</v>
      </c>
      <c r="J99" s="89">
        <f>I99*DATAARK!$B$4</f>
        <v>0</v>
      </c>
      <c r="K99" s="89">
        <f>J99*DATAARK!$C$4</f>
        <v>0</v>
      </c>
      <c r="N99" s="40">
        <f t="shared" si="2"/>
        <v>0</v>
      </c>
    </row>
    <row r="100" spans="1:14" x14ac:dyDescent="0.25">
      <c r="A100" s="12" t="s">
        <v>157</v>
      </c>
      <c r="B100" s="12" t="s">
        <v>158</v>
      </c>
      <c r="J100" s="89">
        <f>I100*DATAARK!$B$4</f>
        <v>0</v>
      </c>
      <c r="K100" s="89">
        <f>J100*DATAARK!$C$4</f>
        <v>0</v>
      </c>
      <c r="N100" s="40">
        <f t="shared" si="2"/>
        <v>0</v>
      </c>
    </row>
    <row r="101" spans="1:14" x14ac:dyDescent="0.25">
      <c r="A101" s="12" t="s">
        <v>159</v>
      </c>
      <c r="B101" s="12" t="s">
        <v>160</v>
      </c>
      <c r="J101" s="89">
        <f>I101*DATAARK!$B$4</f>
        <v>0</v>
      </c>
      <c r="K101" s="89">
        <f>J101*DATAARK!$C$4</f>
        <v>0</v>
      </c>
      <c r="N101" s="40">
        <f t="shared" si="2"/>
        <v>0</v>
      </c>
    </row>
    <row r="102" spans="1:14" x14ac:dyDescent="0.25">
      <c r="A102" s="12" t="s">
        <v>161</v>
      </c>
      <c r="B102" s="12" t="s">
        <v>162</v>
      </c>
      <c r="J102" s="89">
        <f>I102*DATAARK!$B$4</f>
        <v>0</v>
      </c>
      <c r="K102" s="89">
        <f>J102*DATAARK!$C$4</f>
        <v>0</v>
      </c>
      <c r="N102" s="40">
        <f t="shared" si="2"/>
        <v>0</v>
      </c>
    </row>
    <row r="103" spans="1:14" x14ac:dyDescent="0.25">
      <c r="A103" s="12" t="s">
        <v>163</v>
      </c>
      <c r="B103" s="12" t="s">
        <v>164</v>
      </c>
      <c r="C103" s="70">
        <v>-71400</v>
      </c>
      <c r="D103" s="70">
        <v>-26873.33</v>
      </c>
      <c r="E103" s="70">
        <v>-165.69</v>
      </c>
      <c r="F103" s="70">
        <v>265.69</v>
      </c>
      <c r="G103" s="70">
        <v>44526.67</v>
      </c>
      <c r="H103" s="51">
        <v>-142800</v>
      </c>
      <c r="I103" s="103">
        <f>-142800/12*9</f>
        <v>-107100</v>
      </c>
      <c r="J103" s="89">
        <f>I103*DATAARK!$B$4</f>
        <v>-107100</v>
      </c>
      <c r="K103" s="89"/>
      <c r="N103" s="40">
        <f t="shared" si="2"/>
        <v>0</v>
      </c>
    </row>
    <row r="104" spans="1:14" x14ac:dyDescent="0.25">
      <c r="A104" s="12" t="s">
        <v>165</v>
      </c>
      <c r="B104" s="12" t="s">
        <v>166</v>
      </c>
      <c r="J104" s="89">
        <f>I104*DATAARK!$B$4</f>
        <v>0</v>
      </c>
      <c r="K104" s="89">
        <f>J104*DATAARK!$C$4</f>
        <v>0</v>
      </c>
      <c r="N104" s="40">
        <f t="shared" si="2"/>
        <v>0</v>
      </c>
    </row>
    <row r="105" spans="1:14" x14ac:dyDescent="0.25">
      <c r="A105" s="12" t="s">
        <v>167</v>
      </c>
      <c r="B105" s="12" t="s">
        <v>168</v>
      </c>
      <c r="J105" s="89">
        <f>I105*DATAARK!$B$4</f>
        <v>0</v>
      </c>
      <c r="K105" s="89">
        <f>J105*DATAARK!$C$4</f>
        <v>0</v>
      </c>
      <c r="N105" s="40">
        <f t="shared" si="2"/>
        <v>0</v>
      </c>
    </row>
    <row r="106" spans="1:14" x14ac:dyDescent="0.25">
      <c r="A106" s="12" t="s">
        <v>169</v>
      </c>
      <c r="B106" s="12" t="s">
        <v>170</v>
      </c>
      <c r="C106" s="70">
        <v>60131.56</v>
      </c>
      <c r="G106" s="70">
        <v>-60131.56</v>
      </c>
      <c r="H106" s="51">
        <v>60131.56</v>
      </c>
      <c r="J106" s="89">
        <f>I106*DATAARK!$B$4</f>
        <v>0</v>
      </c>
      <c r="K106" s="89">
        <f>J106*DATAARK!$C$4</f>
        <v>0</v>
      </c>
      <c r="N106" s="40">
        <f t="shared" si="2"/>
        <v>0</v>
      </c>
    </row>
    <row r="107" spans="1:14" x14ac:dyDescent="0.25">
      <c r="A107" s="13" t="s">
        <v>171</v>
      </c>
      <c r="B107" s="13" t="s">
        <v>172</v>
      </c>
      <c r="C107" s="71">
        <v>-3884801.53</v>
      </c>
      <c r="D107" s="71">
        <v>-6031675.4000000004</v>
      </c>
      <c r="E107" s="71">
        <v>35.590000000000003</v>
      </c>
      <c r="F107" s="71">
        <v>64.41</v>
      </c>
      <c r="G107" s="71">
        <v>-2146873.87</v>
      </c>
      <c r="H107" s="68">
        <v>-7991541.4900000012</v>
      </c>
      <c r="I107" s="90">
        <f>SUM(I85:I106)</f>
        <v>-6890648.0100000007</v>
      </c>
      <c r="J107" s="89">
        <f>SUM(J85:J106)</f>
        <v>-6890648.0100000007</v>
      </c>
      <c r="K107" s="90">
        <f>SUM(K85:K106)</f>
        <v>-6150848.1000000006</v>
      </c>
    </row>
    <row r="108" spans="1:14" x14ac:dyDescent="0.25">
      <c r="A108" s="12" t="s">
        <v>12</v>
      </c>
      <c r="B108" s="12" t="s">
        <v>12</v>
      </c>
    </row>
    <row r="109" spans="1:14" x14ac:dyDescent="0.25">
      <c r="A109" s="13" t="s">
        <v>173</v>
      </c>
      <c r="B109" s="13" t="s">
        <v>174</v>
      </c>
      <c r="C109" s="71"/>
      <c r="D109" s="71"/>
      <c r="E109" s="71"/>
      <c r="F109" s="71"/>
      <c r="G109" s="71"/>
      <c r="H109" s="68"/>
      <c r="I109" s="90"/>
      <c r="J109" s="127"/>
      <c r="K109" s="90"/>
    </row>
    <row r="110" spans="1:14" x14ac:dyDescent="0.25">
      <c r="A110" s="12" t="s">
        <v>175</v>
      </c>
      <c r="B110" s="12" t="s">
        <v>174</v>
      </c>
      <c r="C110" s="70">
        <v>-539601.98</v>
      </c>
      <c r="D110" s="70">
        <v>-1123938.24</v>
      </c>
      <c r="E110" s="70">
        <v>51.99</v>
      </c>
      <c r="F110" s="70">
        <v>48.01</v>
      </c>
      <c r="G110" s="70">
        <v>-584336.26</v>
      </c>
      <c r="H110" s="51">
        <v>-1421267.31</v>
      </c>
      <c r="I110" s="109">
        <v>-1231883</v>
      </c>
      <c r="J110" s="129">
        <f>I110*DATAARK!$B$4</f>
        <v>-1231883</v>
      </c>
      <c r="K110" s="129">
        <v>-1099528.1100000001</v>
      </c>
      <c r="M110" t="s">
        <v>501</v>
      </c>
      <c r="N110" s="40">
        <f>IF(J110&gt;0,1,0)</f>
        <v>0</v>
      </c>
    </row>
    <row r="111" spans="1:14" x14ac:dyDescent="0.25">
      <c r="A111" s="12" t="s">
        <v>176</v>
      </c>
      <c r="B111" s="12" t="s">
        <v>177</v>
      </c>
      <c r="J111" s="89">
        <f>I111*DATAARK!$B$4</f>
        <v>0</v>
      </c>
      <c r="K111" s="89">
        <f>J111*DATAARK!$C$4</f>
        <v>0</v>
      </c>
      <c r="N111" s="40">
        <f>IF(J111&gt;0,1,0)</f>
        <v>0</v>
      </c>
    </row>
    <row r="112" spans="1:14" x14ac:dyDescent="0.25">
      <c r="A112" s="13" t="s">
        <v>178</v>
      </c>
      <c r="B112" s="13" t="s">
        <v>179</v>
      </c>
      <c r="C112" s="71">
        <v>-539601.98</v>
      </c>
      <c r="D112" s="71">
        <v>-1123938.24</v>
      </c>
      <c r="E112" s="71">
        <v>51.99</v>
      </c>
      <c r="F112" s="71">
        <v>48.01</v>
      </c>
      <c r="G112" s="71">
        <v>-584336.26</v>
      </c>
      <c r="H112" s="68">
        <v>-1421267.31</v>
      </c>
      <c r="I112" s="90">
        <f>I110+I111</f>
        <v>-1231883</v>
      </c>
      <c r="J112" s="127">
        <f>J110+J111</f>
        <v>-1231883</v>
      </c>
      <c r="K112" s="90">
        <f>K110+K111</f>
        <v>-1099528.1100000001</v>
      </c>
    </row>
    <row r="113" spans="1:14" x14ac:dyDescent="0.25">
      <c r="A113" s="12" t="s">
        <v>12</v>
      </c>
      <c r="B113" s="12" t="s">
        <v>12</v>
      </c>
    </row>
    <row r="114" spans="1:14" x14ac:dyDescent="0.25">
      <c r="A114" s="13" t="s">
        <v>180</v>
      </c>
      <c r="B114" s="13" t="s">
        <v>181</v>
      </c>
      <c r="C114" s="71"/>
      <c r="D114" s="71"/>
      <c r="E114" s="71"/>
      <c r="F114" s="71"/>
      <c r="G114" s="71"/>
      <c r="H114" s="68"/>
      <c r="I114" s="90"/>
      <c r="K114" s="89"/>
    </row>
    <row r="115" spans="1:14" x14ac:dyDescent="0.25">
      <c r="A115" s="12" t="s">
        <v>182</v>
      </c>
      <c r="B115" s="12" t="s">
        <v>183</v>
      </c>
      <c r="C115" s="70">
        <v>1396580.41</v>
      </c>
      <c r="G115" s="70">
        <v>-1396580.41</v>
      </c>
      <c r="H115" s="51">
        <v>2793160.82</v>
      </c>
      <c r="I115" s="103">
        <f>C115*2</f>
        <v>2793160.82</v>
      </c>
      <c r="J115" s="89">
        <f>I115*DATAARK!$B$4</f>
        <v>2793160.82</v>
      </c>
      <c r="K115" s="89">
        <f>J115*DATAARK!$C$4</f>
        <v>2793160.82</v>
      </c>
      <c r="N115" s="40">
        <f t="shared" ref="N115:N121" si="3">IF(J115&gt;0,0,2)</f>
        <v>0</v>
      </c>
    </row>
    <row r="116" spans="1:14" x14ac:dyDescent="0.25">
      <c r="A116" s="12" t="s">
        <v>184</v>
      </c>
      <c r="B116" s="12" t="s">
        <v>185</v>
      </c>
      <c r="C116" s="70">
        <v>277906</v>
      </c>
      <c r="G116" s="70">
        <v>-277906</v>
      </c>
      <c r="H116" s="51">
        <v>277906</v>
      </c>
      <c r="I116" s="103">
        <f>C116</f>
        <v>277906</v>
      </c>
      <c r="J116" s="89">
        <f>I116*DATAARK!$B$4</f>
        <v>277906</v>
      </c>
      <c r="K116" s="89">
        <f>J116*DATAARK!$C$4</f>
        <v>277906</v>
      </c>
      <c r="N116" s="40">
        <f t="shared" si="3"/>
        <v>0</v>
      </c>
    </row>
    <row r="117" spans="1:14" x14ac:dyDescent="0.25">
      <c r="A117" s="12" t="s">
        <v>186</v>
      </c>
      <c r="B117" s="12" t="s">
        <v>187</v>
      </c>
      <c r="J117" s="89">
        <f>I117*DATAARK!$B$4</f>
        <v>0</v>
      </c>
      <c r="K117" s="89">
        <f>J117*DATAARK!$C$4</f>
        <v>0</v>
      </c>
      <c r="N117" s="40">
        <f t="shared" si="3"/>
        <v>2</v>
      </c>
    </row>
    <row r="118" spans="1:14" x14ac:dyDescent="0.25">
      <c r="A118" s="12" t="s">
        <v>188</v>
      </c>
      <c r="B118" s="12" t="s">
        <v>189</v>
      </c>
      <c r="C118" s="70">
        <v>5705.86</v>
      </c>
      <c r="G118" s="70">
        <v>-5705.86</v>
      </c>
      <c r="H118" s="51">
        <v>5705.86</v>
      </c>
      <c r="I118" s="103">
        <f>C118</f>
        <v>5705.86</v>
      </c>
      <c r="J118" s="89">
        <f>I118*DATAARK!$B$4</f>
        <v>5705.86</v>
      </c>
      <c r="K118" s="89">
        <f>J118*DATAARK!$C$4</f>
        <v>5705.86</v>
      </c>
      <c r="N118" s="40">
        <f t="shared" si="3"/>
        <v>0</v>
      </c>
    </row>
    <row r="119" spans="1:14" x14ac:dyDescent="0.25">
      <c r="A119" s="12" t="s">
        <v>190</v>
      </c>
      <c r="B119" s="12" t="s">
        <v>191</v>
      </c>
      <c r="J119" s="89">
        <f>I119*DATAARK!$B$4</f>
        <v>0</v>
      </c>
      <c r="K119" s="89">
        <f>J119*DATAARK!$C$4</f>
        <v>0</v>
      </c>
      <c r="N119" s="40">
        <f t="shared" si="3"/>
        <v>2</v>
      </c>
    </row>
    <row r="120" spans="1:14" x14ac:dyDescent="0.25">
      <c r="A120" s="12" t="s">
        <v>192</v>
      </c>
      <c r="B120" s="12" t="s">
        <v>193</v>
      </c>
      <c r="C120" s="70">
        <v>93154.92</v>
      </c>
      <c r="G120" s="70">
        <v>-93154.92</v>
      </c>
      <c r="H120" s="51">
        <v>93154.92</v>
      </c>
      <c r="I120" s="103">
        <f>C120</f>
        <v>93154.92</v>
      </c>
      <c r="J120" s="89">
        <f>I120*DATAARK!$B$4</f>
        <v>93154.92</v>
      </c>
      <c r="K120" s="89">
        <f>J120*DATAARK!$C$4</f>
        <v>93154.92</v>
      </c>
      <c r="N120" s="40">
        <f t="shared" si="3"/>
        <v>0</v>
      </c>
    </row>
    <row r="121" spans="1:14" x14ac:dyDescent="0.25">
      <c r="A121" s="12" t="s">
        <v>194</v>
      </c>
      <c r="B121" s="12" t="s">
        <v>195</v>
      </c>
      <c r="J121" s="89">
        <f>I121*DATAARK!$B$4</f>
        <v>0</v>
      </c>
      <c r="K121" s="89">
        <f>J121*DATAARK!$C$4</f>
        <v>0</v>
      </c>
      <c r="N121" s="40">
        <f t="shared" si="3"/>
        <v>2</v>
      </c>
    </row>
    <row r="122" spans="1:14" x14ac:dyDescent="0.25">
      <c r="A122" s="13" t="s">
        <v>196</v>
      </c>
      <c r="B122" s="13" t="s">
        <v>197</v>
      </c>
      <c r="C122" s="71">
        <v>1773347.19</v>
      </c>
      <c r="D122" s="71"/>
      <c r="E122" s="71"/>
      <c r="F122" s="71"/>
      <c r="G122" s="71">
        <v>-1773347.19</v>
      </c>
      <c r="H122" s="68">
        <v>3169927.5999999996</v>
      </c>
      <c r="I122" s="90">
        <f>SUM(I115:I121)</f>
        <v>3169927.5999999996</v>
      </c>
      <c r="J122" s="127">
        <f>SUM(J115:J121)</f>
        <v>3169927.5999999996</v>
      </c>
      <c r="K122" s="90">
        <f>SUM(K115:K121)</f>
        <v>3169927.5999999996</v>
      </c>
    </row>
    <row r="123" spans="1:14" x14ac:dyDescent="0.25">
      <c r="A123" s="13" t="s">
        <v>198</v>
      </c>
      <c r="B123" s="13" t="s">
        <v>199</v>
      </c>
      <c r="C123" s="71">
        <v>-2651056.3199999998</v>
      </c>
      <c r="D123" s="71">
        <v>-7155613.6399999997</v>
      </c>
      <c r="E123" s="71">
        <v>62.95</v>
      </c>
      <c r="F123" s="71">
        <v>37.049999999999997</v>
      </c>
      <c r="G123" s="71">
        <v>-4504557.32</v>
      </c>
      <c r="H123" s="68">
        <v>-6242881.2000000011</v>
      </c>
      <c r="I123" s="90">
        <f>I122+I112+I107</f>
        <v>-4952603.4100000011</v>
      </c>
      <c r="J123" s="127">
        <f>J122+J112+J107</f>
        <v>-4952603.4100000011</v>
      </c>
      <c r="K123" s="90">
        <f>K122+K112+K107</f>
        <v>-4080448.6100000013</v>
      </c>
    </row>
    <row r="124" spans="1:14" x14ac:dyDescent="0.25">
      <c r="A124" s="12" t="s">
        <v>12</v>
      </c>
      <c r="B124" s="12" t="s">
        <v>12</v>
      </c>
    </row>
    <row r="125" spans="1:14" x14ac:dyDescent="0.25">
      <c r="A125" s="13" t="s">
        <v>200</v>
      </c>
      <c r="B125" s="13" t="s">
        <v>201</v>
      </c>
      <c r="C125" s="71">
        <v>-2662440.16</v>
      </c>
      <c r="D125" s="71">
        <v>-7533813.6399999997</v>
      </c>
      <c r="E125" s="71">
        <v>64.66</v>
      </c>
      <c r="F125" s="71">
        <v>35.340000000000003</v>
      </c>
      <c r="G125" s="71">
        <v>-4871373.4800000004</v>
      </c>
      <c r="H125" s="68">
        <v>-6254265.040000001</v>
      </c>
      <c r="I125" s="90">
        <f>I123+I82+I77</f>
        <v>-4952603.4100000011</v>
      </c>
      <c r="J125" s="127">
        <f>J123+J82+J77</f>
        <v>-4952603.4100000011</v>
      </c>
      <c r="K125" s="90">
        <f>K123+K82+K77</f>
        <v>-4080448.6100000013</v>
      </c>
    </row>
    <row r="126" spans="1:14" x14ac:dyDescent="0.25">
      <c r="A126" s="12" t="s">
        <v>12</v>
      </c>
      <c r="B126" s="12" t="s">
        <v>12</v>
      </c>
    </row>
    <row r="127" spans="1:14" x14ac:dyDescent="0.25">
      <c r="A127" s="13" t="s">
        <v>202</v>
      </c>
      <c r="B127" s="13" t="s">
        <v>203</v>
      </c>
      <c r="C127" s="71">
        <v>-1531222.66</v>
      </c>
      <c r="D127" s="71">
        <v>5272302.3600000003</v>
      </c>
      <c r="E127" s="71">
        <v>129.04</v>
      </c>
      <c r="F127" s="71">
        <v>-29.04</v>
      </c>
      <c r="G127" s="71">
        <v>6803525.0199999996</v>
      </c>
      <c r="H127" s="68">
        <v>-4009372.540000001</v>
      </c>
      <c r="I127" s="90">
        <f>I125+I65</f>
        <v>-2725753.4100000011</v>
      </c>
      <c r="J127" s="127">
        <f>J125+J65</f>
        <v>-2725753.4100000011</v>
      </c>
      <c r="K127" s="90">
        <f>K125+K65</f>
        <v>-1853598.6100000013</v>
      </c>
    </row>
    <row r="128" spans="1:14" x14ac:dyDescent="0.25">
      <c r="A128" s="12" t="s">
        <v>12</v>
      </c>
      <c r="B128" s="12" t="s">
        <v>12</v>
      </c>
    </row>
    <row r="129" spans="1:14" x14ac:dyDescent="0.25">
      <c r="A129" s="13" t="s">
        <v>204</v>
      </c>
      <c r="B129" s="13" t="s">
        <v>205</v>
      </c>
      <c r="C129" s="71"/>
      <c r="D129" s="71"/>
      <c r="E129" s="71"/>
      <c r="F129" s="71"/>
      <c r="G129" s="71"/>
      <c r="H129" s="68"/>
      <c r="I129" s="90"/>
      <c r="J129" s="127"/>
      <c r="K129" s="90"/>
    </row>
    <row r="130" spans="1:14" x14ac:dyDescent="0.25">
      <c r="A130" s="12" t="s">
        <v>206</v>
      </c>
      <c r="B130" s="12" t="s">
        <v>207</v>
      </c>
      <c r="C130" s="70">
        <v>13644.9</v>
      </c>
      <c r="D130" s="70">
        <v>42259.63</v>
      </c>
      <c r="E130" s="70">
        <v>67.709999999999994</v>
      </c>
      <c r="F130" s="70">
        <v>32.29</v>
      </c>
      <c r="G130" s="70">
        <v>28614.73</v>
      </c>
      <c r="H130" s="51">
        <v>42259.63</v>
      </c>
      <c r="I130" s="103">
        <v>42259.63</v>
      </c>
      <c r="J130" s="89">
        <f>I130*DATAARK!$B$3</f>
        <v>42259.63</v>
      </c>
      <c r="K130" s="89">
        <f>J130*DATAARK!$C$3</f>
        <v>42259.63</v>
      </c>
      <c r="N130" s="40">
        <f t="shared" ref="N130:N136" si="4">IF(J130&gt;0,0,2)</f>
        <v>0</v>
      </c>
    </row>
    <row r="131" spans="1:14" x14ac:dyDescent="0.25">
      <c r="A131" s="12" t="s">
        <v>208</v>
      </c>
      <c r="B131" s="12" t="s">
        <v>209</v>
      </c>
      <c r="C131" s="70">
        <v>1066848.6200000001</v>
      </c>
      <c r="D131" s="70">
        <v>83204.73</v>
      </c>
      <c r="E131" s="70">
        <v>-1182.2</v>
      </c>
      <c r="F131" s="70">
        <v>1282.2</v>
      </c>
      <c r="G131" s="70">
        <v>-983643.89</v>
      </c>
      <c r="H131" s="51">
        <v>1066848.6200000001</v>
      </c>
      <c r="J131" s="89">
        <f>I131*DATAARK!$B$3</f>
        <v>0</v>
      </c>
      <c r="K131" s="89">
        <f>J131*DATAARK!$C$3</f>
        <v>0</v>
      </c>
      <c r="N131" s="40">
        <f t="shared" si="4"/>
        <v>2</v>
      </c>
    </row>
    <row r="132" spans="1:14" x14ac:dyDescent="0.25">
      <c r="A132" s="12" t="s">
        <v>210</v>
      </c>
      <c r="B132" s="12" t="s">
        <v>211</v>
      </c>
      <c r="J132" s="89">
        <f>I132*DATAARK!$B$3</f>
        <v>0</v>
      </c>
      <c r="K132" s="89">
        <f>J132*DATAARK!$C$3</f>
        <v>0</v>
      </c>
      <c r="N132" s="40">
        <f t="shared" si="4"/>
        <v>2</v>
      </c>
    </row>
    <row r="133" spans="1:14" x14ac:dyDescent="0.25">
      <c r="A133" s="12" t="s">
        <v>212</v>
      </c>
      <c r="B133" s="12" t="s">
        <v>213</v>
      </c>
      <c r="J133" s="89">
        <f>I133*DATAARK!$B$3</f>
        <v>0</v>
      </c>
      <c r="K133" s="89">
        <f>J133*DATAARK!$C$3</f>
        <v>0</v>
      </c>
      <c r="N133" s="40">
        <f t="shared" si="4"/>
        <v>2</v>
      </c>
    </row>
    <row r="134" spans="1:14" x14ac:dyDescent="0.25">
      <c r="A134" s="12" t="s">
        <v>214</v>
      </c>
      <c r="B134" s="12" t="s">
        <v>215</v>
      </c>
      <c r="J134" s="89">
        <f>I134*DATAARK!$B$3</f>
        <v>0</v>
      </c>
      <c r="K134" s="89">
        <f>J134*DATAARK!$C$3</f>
        <v>0</v>
      </c>
      <c r="N134" s="40">
        <f t="shared" si="4"/>
        <v>2</v>
      </c>
    </row>
    <row r="135" spans="1:14" x14ac:dyDescent="0.25">
      <c r="A135" s="12" t="s">
        <v>216</v>
      </c>
      <c r="B135" s="12" t="s">
        <v>217</v>
      </c>
      <c r="J135" s="89">
        <f>I135*DATAARK!$B$3</f>
        <v>0</v>
      </c>
      <c r="K135" s="89">
        <f>J135*DATAARK!$C$3</f>
        <v>0</v>
      </c>
      <c r="N135" s="40">
        <f t="shared" si="4"/>
        <v>2</v>
      </c>
    </row>
    <row r="136" spans="1:14" x14ac:dyDescent="0.25">
      <c r="A136" s="13" t="s">
        <v>218</v>
      </c>
      <c r="B136" s="13" t="s">
        <v>219</v>
      </c>
      <c r="C136" s="71">
        <v>1080493.52</v>
      </c>
      <c r="D136" s="71">
        <v>125464.36</v>
      </c>
      <c r="E136" s="71">
        <v>-761.2</v>
      </c>
      <c r="F136" s="71">
        <v>861.2</v>
      </c>
      <c r="G136" s="71">
        <v>-955029.16</v>
      </c>
      <c r="H136" s="68">
        <v>1109108.25</v>
      </c>
      <c r="I136" s="90">
        <f>SUM(I130:I135)</f>
        <v>42259.63</v>
      </c>
      <c r="J136" s="127">
        <f>SUM(J130:J135)</f>
        <v>42259.63</v>
      </c>
      <c r="K136" s="90">
        <f>SUM(K130:K135)</f>
        <v>42259.63</v>
      </c>
      <c r="N136" s="40">
        <f t="shared" si="4"/>
        <v>0</v>
      </c>
    </row>
    <row r="137" spans="1:14" x14ac:dyDescent="0.25">
      <c r="A137" s="12" t="s">
        <v>12</v>
      </c>
      <c r="B137" s="12" t="s">
        <v>12</v>
      </c>
    </row>
    <row r="138" spans="1:14" x14ac:dyDescent="0.25">
      <c r="A138" s="13" t="s">
        <v>220</v>
      </c>
      <c r="B138" s="13" t="s">
        <v>221</v>
      </c>
      <c r="C138" s="71"/>
      <c r="D138" s="71"/>
      <c r="E138" s="71"/>
      <c r="F138" s="71"/>
      <c r="G138" s="71"/>
      <c r="H138" s="68"/>
      <c r="I138" s="90"/>
      <c r="J138" s="127"/>
      <c r="K138" s="90"/>
    </row>
    <row r="139" spans="1:14" x14ac:dyDescent="0.25">
      <c r="A139" s="12" t="s">
        <v>222</v>
      </c>
      <c r="B139" s="12" t="s">
        <v>223</v>
      </c>
      <c r="D139" s="70">
        <v>-4000000</v>
      </c>
      <c r="E139" s="70">
        <v>100</v>
      </c>
      <c r="G139" s="70">
        <v>-4000000</v>
      </c>
      <c r="J139" s="89">
        <f>I139*DATAARK!$B$3</f>
        <v>0</v>
      </c>
      <c r="K139" s="89">
        <f>J139*DATAARK!$C$3</f>
        <v>0</v>
      </c>
      <c r="N139">
        <f>IF(J139&gt;0,1,0)</f>
        <v>0</v>
      </c>
    </row>
    <row r="140" spans="1:14" x14ac:dyDescent="0.25">
      <c r="A140" s="12" t="s">
        <v>224</v>
      </c>
      <c r="B140" s="12" t="s">
        <v>225</v>
      </c>
      <c r="J140" s="89">
        <f>I140*DATAARK!$B$3</f>
        <v>0</v>
      </c>
      <c r="K140" s="89">
        <f>J140*DATAARK!$C$3</f>
        <v>0</v>
      </c>
      <c r="N140" s="40">
        <f t="shared" ref="N140:N203" si="5">IF(J140&gt;0,1,0)</f>
        <v>0</v>
      </c>
    </row>
    <row r="141" spans="1:14" x14ac:dyDescent="0.25">
      <c r="A141" s="12" t="s">
        <v>226</v>
      </c>
      <c r="B141" s="12" t="s">
        <v>227</v>
      </c>
      <c r="J141" s="89">
        <f>I141*DATAARK!$B$3</f>
        <v>0</v>
      </c>
      <c r="K141" s="89">
        <f>J141*DATAARK!$C$3</f>
        <v>0</v>
      </c>
      <c r="N141" s="40">
        <f t="shared" si="5"/>
        <v>0</v>
      </c>
    </row>
    <row r="142" spans="1:14" x14ac:dyDescent="0.25">
      <c r="A142" s="12" t="s">
        <v>228</v>
      </c>
      <c r="B142" s="12" t="s">
        <v>229</v>
      </c>
      <c r="C142" s="70">
        <v>3628202.48</v>
      </c>
      <c r="D142" s="70">
        <v>3926274.64</v>
      </c>
      <c r="E142" s="70">
        <v>7.59</v>
      </c>
      <c r="F142" s="70">
        <v>92.41</v>
      </c>
      <c r="G142" s="70">
        <v>298072.15999999997</v>
      </c>
      <c r="H142" s="51">
        <v>9974209.9399999976</v>
      </c>
      <c r="I142" s="103">
        <v>8424120.8399999999</v>
      </c>
      <c r="J142" s="89">
        <v>12265947.65</v>
      </c>
      <c r="K142" s="89">
        <v>9958414.1099999994</v>
      </c>
      <c r="M142" t="s">
        <v>502</v>
      </c>
      <c r="N142" s="40">
        <f t="shared" si="5"/>
        <v>1</v>
      </c>
    </row>
    <row r="143" spans="1:14" x14ac:dyDescent="0.25">
      <c r="A143" s="12" t="s">
        <v>230</v>
      </c>
      <c r="B143" s="12" t="s">
        <v>231</v>
      </c>
      <c r="C143" s="70">
        <v>-880</v>
      </c>
      <c r="D143" s="70">
        <v>-4000</v>
      </c>
      <c r="E143" s="70">
        <v>78</v>
      </c>
      <c r="F143" s="70">
        <v>22</v>
      </c>
      <c r="G143" s="70">
        <v>-3120</v>
      </c>
      <c r="H143" s="51">
        <v>-4000</v>
      </c>
      <c r="J143" s="89">
        <f>I143*DATAARK!$B$3</f>
        <v>0</v>
      </c>
      <c r="K143" s="89">
        <f>J143*DATAARK!$C$3</f>
        <v>0</v>
      </c>
      <c r="N143" s="40">
        <f t="shared" si="5"/>
        <v>0</v>
      </c>
    </row>
    <row r="144" spans="1:14" x14ac:dyDescent="0.25">
      <c r="A144" s="12" t="s">
        <v>232</v>
      </c>
      <c r="B144" s="12" t="s">
        <v>233</v>
      </c>
      <c r="C144" s="70">
        <v>-15801.75</v>
      </c>
      <c r="D144" s="70">
        <v>-70000</v>
      </c>
      <c r="E144" s="70">
        <v>77.430000000000007</v>
      </c>
      <c r="F144" s="70">
        <v>22.57</v>
      </c>
      <c r="G144" s="70">
        <v>-54198.25</v>
      </c>
      <c r="H144" s="51">
        <v>-70000</v>
      </c>
      <c r="I144" s="103">
        <v>-70000</v>
      </c>
      <c r="J144" s="89">
        <f>I144*DATAARK!$B$3</f>
        <v>-70000</v>
      </c>
      <c r="K144" s="89">
        <f>J144*DATAARK!$C$3</f>
        <v>-70000</v>
      </c>
      <c r="N144" s="40">
        <f t="shared" si="5"/>
        <v>0</v>
      </c>
    </row>
    <row r="145" spans="1:14" x14ac:dyDescent="0.25">
      <c r="A145" s="12" t="s">
        <v>234</v>
      </c>
      <c r="B145" s="12" t="s">
        <v>235</v>
      </c>
      <c r="J145" s="89">
        <f>I145*DATAARK!$B$3</f>
        <v>0</v>
      </c>
      <c r="K145" s="89">
        <f>J145*DATAARK!$C$3</f>
        <v>0</v>
      </c>
      <c r="N145" s="40">
        <f t="shared" si="5"/>
        <v>0</v>
      </c>
    </row>
    <row r="146" spans="1:14" x14ac:dyDescent="0.25">
      <c r="A146" s="12" t="s">
        <v>236</v>
      </c>
      <c r="B146" s="12" t="s">
        <v>237</v>
      </c>
      <c r="C146" s="70">
        <v>-287.2</v>
      </c>
      <c r="G146" s="70">
        <v>287.2</v>
      </c>
      <c r="H146" s="51">
        <v>-287.2</v>
      </c>
      <c r="J146" s="89">
        <f>I146*DATAARK!$B$3</f>
        <v>0</v>
      </c>
      <c r="K146" s="89">
        <f>J146*DATAARK!$C$3</f>
        <v>0</v>
      </c>
      <c r="N146" s="40">
        <f t="shared" si="5"/>
        <v>0</v>
      </c>
    </row>
    <row r="147" spans="1:14" x14ac:dyDescent="0.25">
      <c r="A147" s="12" t="s">
        <v>238</v>
      </c>
      <c r="B147" s="12" t="s">
        <v>239</v>
      </c>
      <c r="C147" s="70">
        <v>-19923.72</v>
      </c>
      <c r="D147" s="70">
        <v>-13506.63</v>
      </c>
      <c r="E147" s="70">
        <v>-47.51</v>
      </c>
      <c r="F147" s="70">
        <v>147.51</v>
      </c>
      <c r="G147" s="70">
        <v>6417.09</v>
      </c>
      <c r="H147" s="51">
        <v>-19923.72</v>
      </c>
      <c r="I147" s="103">
        <v>-25000</v>
      </c>
      <c r="J147" s="89">
        <f>I147*DATAARK!$B$3</f>
        <v>-25000</v>
      </c>
      <c r="K147" s="89">
        <f>J147*DATAARK!$C$3</f>
        <v>-25000</v>
      </c>
      <c r="N147" s="40">
        <f t="shared" si="5"/>
        <v>0</v>
      </c>
    </row>
    <row r="148" spans="1:14" x14ac:dyDescent="0.25">
      <c r="A148" s="12" t="s">
        <v>240</v>
      </c>
      <c r="B148" s="12" t="s">
        <v>241</v>
      </c>
      <c r="J148" s="89">
        <f>I148*DATAARK!$B$3</f>
        <v>0</v>
      </c>
      <c r="K148" s="89">
        <f>J148*DATAARK!$C$3</f>
        <v>0</v>
      </c>
      <c r="N148" s="40">
        <f t="shared" si="5"/>
        <v>0</v>
      </c>
    </row>
    <row r="149" spans="1:14" x14ac:dyDescent="0.25">
      <c r="A149" s="12" t="s">
        <v>242</v>
      </c>
      <c r="B149" s="12" t="s">
        <v>243</v>
      </c>
      <c r="I149" s="103">
        <v>-192660</v>
      </c>
      <c r="J149" s="89">
        <f>I149*DATAARK!$B$3</f>
        <v>-192660</v>
      </c>
      <c r="K149" s="89">
        <f>J149*DATAARK!$C$3</f>
        <v>-192660</v>
      </c>
      <c r="N149" s="40">
        <f t="shared" si="5"/>
        <v>0</v>
      </c>
    </row>
    <row r="150" spans="1:14" x14ac:dyDescent="0.25">
      <c r="A150" s="12" t="s">
        <v>244</v>
      </c>
      <c r="B150" s="12" t="s">
        <v>245</v>
      </c>
      <c r="I150" s="103">
        <v>-156400</v>
      </c>
      <c r="J150" s="89">
        <f>I150*DATAARK!$B$3</f>
        <v>-156400</v>
      </c>
      <c r="K150" s="89">
        <f>J150*DATAARK!$C$3</f>
        <v>-156400</v>
      </c>
      <c r="N150" s="40">
        <f t="shared" si="5"/>
        <v>0</v>
      </c>
    </row>
    <row r="151" spans="1:14" x14ac:dyDescent="0.25">
      <c r="A151" s="12" t="s">
        <v>246</v>
      </c>
      <c r="B151" s="12" t="s">
        <v>247</v>
      </c>
      <c r="C151" s="70">
        <v>-7315</v>
      </c>
      <c r="G151" s="70">
        <v>7315</v>
      </c>
      <c r="H151" s="51">
        <v>-7315</v>
      </c>
      <c r="J151" s="103">
        <v>-2267520</v>
      </c>
      <c r="K151" s="103">
        <v>-832141.26</v>
      </c>
      <c r="N151" s="40">
        <f t="shared" si="5"/>
        <v>0</v>
      </c>
    </row>
    <row r="152" spans="1:14" x14ac:dyDescent="0.25">
      <c r="A152" s="12" t="s">
        <v>248</v>
      </c>
      <c r="B152" s="12" t="s">
        <v>249</v>
      </c>
      <c r="D152" s="70">
        <v>-50000</v>
      </c>
      <c r="E152" s="70">
        <v>100</v>
      </c>
      <c r="G152" s="70">
        <v>-50000</v>
      </c>
      <c r="H152" s="51">
        <v>-50000</v>
      </c>
      <c r="I152" s="103">
        <v>-50000</v>
      </c>
      <c r="J152" s="89">
        <f>I152*DATAARK!$B$3</f>
        <v>-50000</v>
      </c>
      <c r="K152" s="89">
        <f>J152*DATAARK!$C$3</f>
        <v>-50000</v>
      </c>
      <c r="N152" s="40">
        <f t="shared" si="5"/>
        <v>0</v>
      </c>
    </row>
    <row r="153" spans="1:14" x14ac:dyDescent="0.25">
      <c r="A153" s="12" t="s">
        <v>250</v>
      </c>
      <c r="B153" s="12" t="s">
        <v>251</v>
      </c>
      <c r="J153" s="89">
        <f>I153*DATAARK!$B$3</f>
        <v>0</v>
      </c>
      <c r="K153" s="89">
        <f>J153*DATAARK!$C$3</f>
        <v>0</v>
      </c>
      <c r="N153" s="40">
        <f t="shared" si="5"/>
        <v>0</v>
      </c>
    </row>
    <row r="154" spans="1:14" x14ac:dyDescent="0.25">
      <c r="A154" s="12" t="s">
        <v>252</v>
      </c>
      <c r="B154" s="12" t="s">
        <v>253</v>
      </c>
      <c r="J154" s="89">
        <f>I154*DATAARK!$B$3</f>
        <v>0</v>
      </c>
      <c r="K154" s="89">
        <f>J154*DATAARK!$C$3</f>
        <v>0</v>
      </c>
      <c r="N154" s="40">
        <f t="shared" si="5"/>
        <v>0</v>
      </c>
    </row>
    <row r="155" spans="1:14" x14ac:dyDescent="0.25">
      <c r="A155" s="12" t="s">
        <v>254</v>
      </c>
      <c r="B155" s="12" t="s">
        <v>255</v>
      </c>
      <c r="D155" s="70">
        <v>-10155.18</v>
      </c>
      <c r="E155" s="70">
        <v>100</v>
      </c>
      <c r="G155" s="70">
        <v>-10155.18</v>
      </c>
      <c r="H155" s="51">
        <v>-10155.18</v>
      </c>
      <c r="I155" s="103">
        <v>-203000</v>
      </c>
      <c r="J155" s="89">
        <f>I155*DATAARK!$B$3</f>
        <v>-203000</v>
      </c>
      <c r="K155" s="89">
        <f>J155*DATAARK!$C$3</f>
        <v>-203000</v>
      </c>
      <c r="N155" s="40">
        <f t="shared" si="5"/>
        <v>0</v>
      </c>
    </row>
    <row r="156" spans="1:14" x14ac:dyDescent="0.25">
      <c r="A156" s="12" t="s">
        <v>256</v>
      </c>
      <c r="B156" s="12" t="s">
        <v>257</v>
      </c>
      <c r="J156" s="89">
        <f>I156*DATAARK!$B$3</f>
        <v>0</v>
      </c>
      <c r="K156" s="89">
        <f>J156*DATAARK!$C$3</f>
        <v>0</v>
      </c>
      <c r="N156" s="40">
        <f t="shared" si="5"/>
        <v>0</v>
      </c>
    </row>
    <row r="157" spans="1:14" x14ac:dyDescent="0.25">
      <c r="A157" s="12" t="s">
        <v>258</v>
      </c>
      <c r="B157" s="12" t="s">
        <v>259</v>
      </c>
      <c r="C157" s="70">
        <v>-193393.85</v>
      </c>
      <c r="D157" s="70">
        <v>-49323.4</v>
      </c>
      <c r="E157" s="70">
        <v>-292.08999999999997</v>
      </c>
      <c r="F157" s="70">
        <v>392.09</v>
      </c>
      <c r="G157" s="70">
        <v>144070.45000000001</v>
      </c>
      <c r="H157" s="51">
        <v>-193393.85</v>
      </c>
      <c r="I157" s="103">
        <f>C157</f>
        <v>-193393.85</v>
      </c>
      <c r="J157" s="89">
        <f>I157*DATAARK!$B$3</f>
        <v>-193393.85</v>
      </c>
      <c r="K157" s="89">
        <f>J157*DATAARK!$C$3</f>
        <v>-193393.85</v>
      </c>
      <c r="N157" s="40">
        <f t="shared" si="5"/>
        <v>0</v>
      </c>
    </row>
    <row r="158" spans="1:14" x14ac:dyDescent="0.25">
      <c r="A158" s="12" t="s">
        <v>260</v>
      </c>
      <c r="B158" s="12" t="s">
        <v>261</v>
      </c>
      <c r="J158" s="89">
        <f>I158*DATAARK!$B$3</f>
        <v>0</v>
      </c>
      <c r="K158" s="89">
        <f>J158*DATAARK!$C$3</f>
        <v>0</v>
      </c>
      <c r="N158" s="40">
        <f t="shared" si="5"/>
        <v>0</v>
      </c>
    </row>
    <row r="159" spans="1:14" x14ac:dyDescent="0.25">
      <c r="A159" s="12" t="s">
        <v>262</v>
      </c>
      <c r="B159" s="12" t="s">
        <v>263</v>
      </c>
      <c r="C159" s="70">
        <v>-12222.02</v>
      </c>
      <c r="D159" s="70">
        <v>-1000000</v>
      </c>
      <c r="E159" s="70">
        <v>98.78</v>
      </c>
      <c r="F159" s="70">
        <v>1.22</v>
      </c>
      <c r="G159" s="70">
        <v>-987777.98</v>
      </c>
      <c r="H159" s="51">
        <v>-500000</v>
      </c>
      <c r="J159" s="89">
        <f>I159*DATAARK!$B$3</f>
        <v>0</v>
      </c>
      <c r="K159" s="89">
        <f>J159*DATAARK!$C$3</f>
        <v>0</v>
      </c>
      <c r="N159" s="40">
        <f t="shared" si="5"/>
        <v>0</v>
      </c>
    </row>
    <row r="160" spans="1:14" x14ac:dyDescent="0.25">
      <c r="A160" s="12" t="s">
        <v>264</v>
      </c>
      <c r="B160" s="12" t="s">
        <v>265</v>
      </c>
      <c r="J160" s="89">
        <f>I160*DATAARK!$B$3</f>
        <v>0</v>
      </c>
      <c r="K160" s="89">
        <f>J160*DATAARK!$C$3</f>
        <v>0</v>
      </c>
      <c r="N160" s="40">
        <f t="shared" si="5"/>
        <v>0</v>
      </c>
    </row>
    <row r="161" spans="1:14" x14ac:dyDescent="0.25">
      <c r="A161" s="12" t="s">
        <v>266</v>
      </c>
      <c r="B161" s="12" t="s">
        <v>267</v>
      </c>
      <c r="J161" s="89">
        <f>I161*DATAARK!$B$3</f>
        <v>0</v>
      </c>
      <c r="K161" s="89">
        <f>J161*DATAARK!$C$3</f>
        <v>0</v>
      </c>
      <c r="N161" s="40">
        <f t="shared" si="5"/>
        <v>0</v>
      </c>
    </row>
    <row r="162" spans="1:14" x14ac:dyDescent="0.25">
      <c r="A162" s="12" t="s">
        <v>268</v>
      </c>
      <c r="B162" s="12" t="s">
        <v>269</v>
      </c>
      <c r="D162" s="70">
        <v>-5000</v>
      </c>
      <c r="E162" s="70">
        <v>100</v>
      </c>
      <c r="G162" s="70">
        <v>-5000</v>
      </c>
      <c r="I162" s="103">
        <v>-928100.5</v>
      </c>
      <c r="J162" s="89">
        <f>I162*DATAARK!$B$3</f>
        <v>-928100.5</v>
      </c>
      <c r="K162" s="89">
        <f>J162*DATAARK!$C$3</f>
        <v>-928100.5</v>
      </c>
      <c r="N162" s="40">
        <f t="shared" si="5"/>
        <v>0</v>
      </c>
    </row>
    <row r="163" spans="1:14" x14ac:dyDescent="0.25">
      <c r="A163" s="12" t="s">
        <v>270</v>
      </c>
      <c r="B163" s="12" t="s">
        <v>271</v>
      </c>
      <c r="I163" s="103">
        <v>-725046.39999999991</v>
      </c>
      <c r="J163" s="89">
        <f>I163*DATAARK!$B$3</f>
        <v>-725046.39999999991</v>
      </c>
      <c r="K163" s="89">
        <f>J163*DATAARK!$C$3</f>
        <v>-725046.39999999991</v>
      </c>
      <c r="N163" s="40">
        <f t="shared" si="5"/>
        <v>0</v>
      </c>
    </row>
    <row r="164" spans="1:14" x14ac:dyDescent="0.25">
      <c r="A164" s="12" t="s">
        <v>272</v>
      </c>
      <c r="B164" s="12" t="s">
        <v>273</v>
      </c>
      <c r="I164" s="103">
        <v>-236933.12</v>
      </c>
      <c r="J164" s="89">
        <f>I164*DATAARK!$B$3</f>
        <v>-236933.12</v>
      </c>
      <c r="K164" s="89">
        <f>J164*DATAARK!$C$3</f>
        <v>-236933.12</v>
      </c>
      <c r="N164" s="40">
        <f t="shared" si="5"/>
        <v>0</v>
      </c>
    </row>
    <row r="165" spans="1:14" x14ac:dyDescent="0.25">
      <c r="A165" s="12" t="s">
        <v>274</v>
      </c>
      <c r="B165" s="12" t="s">
        <v>275</v>
      </c>
      <c r="I165" s="103">
        <v>-78500</v>
      </c>
      <c r="J165" s="89">
        <f>I165*DATAARK!$B$3</f>
        <v>-78500</v>
      </c>
      <c r="K165" s="89">
        <f>J165*DATAARK!$C$3</f>
        <v>-78500</v>
      </c>
      <c r="N165" s="40">
        <f t="shared" si="5"/>
        <v>0</v>
      </c>
    </row>
    <row r="166" spans="1:14" x14ac:dyDescent="0.25">
      <c r="A166" s="12" t="s">
        <v>276</v>
      </c>
      <c r="B166" s="12" t="s">
        <v>277</v>
      </c>
      <c r="I166" s="103">
        <v>-84000</v>
      </c>
      <c r="J166" s="89">
        <f>I166*DATAARK!$B$3</f>
        <v>-84000</v>
      </c>
      <c r="K166" s="89">
        <f>J166*DATAARK!$C$3</f>
        <v>-84000</v>
      </c>
      <c r="N166" s="40">
        <f t="shared" si="5"/>
        <v>0</v>
      </c>
    </row>
    <row r="167" spans="1:14" x14ac:dyDescent="0.25">
      <c r="A167" s="12" t="s">
        <v>278</v>
      </c>
      <c r="B167" s="12" t="s">
        <v>279</v>
      </c>
      <c r="J167" s="89">
        <f>I167*DATAARK!$B$3</f>
        <v>0</v>
      </c>
      <c r="K167" s="89">
        <f>J167*DATAARK!$C$3</f>
        <v>0</v>
      </c>
      <c r="N167" s="40">
        <f t="shared" si="5"/>
        <v>0</v>
      </c>
    </row>
    <row r="168" spans="1:14" x14ac:dyDescent="0.25">
      <c r="A168" s="12" t="s">
        <v>280</v>
      </c>
      <c r="B168" s="12" t="s">
        <v>281</v>
      </c>
      <c r="C168" s="70">
        <v>-87562.17</v>
      </c>
      <c r="D168" s="70">
        <v>-400000</v>
      </c>
      <c r="E168" s="70">
        <v>78.11</v>
      </c>
      <c r="F168" s="70">
        <v>21.89</v>
      </c>
      <c r="G168" s="70">
        <v>-312437.83</v>
      </c>
      <c r="H168" s="51">
        <v>-400000</v>
      </c>
      <c r="I168" s="103">
        <v>-400000</v>
      </c>
      <c r="J168" s="89">
        <f>I168*DATAARK!$B$3</f>
        <v>-400000</v>
      </c>
      <c r="K168" s="89">
        <f>J168*DATAARK!$C$3</f>
        <v>-400000</v>
      </c>
      <c r="N168" s="40">
        <f t="shared" si="5"/>
        <v>0</v>
      </c>
    </row>
    <row r="169" spans="1:14" x14ac:dyDescent="0.25">
      <c r="A169" s="12" t="s">
        <v>282</v>
      </c>
      <c r="B169" s="12" t="s">
        <v>283</v>
      </c>
      <c r="C169" s="70">
        <v>-859734.9</v>
      </c>
      <c r="D169" s="70">
        <v>-2000000</v>
      </c>
      <c r="E169" s="70">
        <v>57.01</v>
      </c>
      <c r="F169" s="70">
        <v>42.99</v>
      </c>
      <c r="G169" s="70">
        <v>-1140265.1000000001</v>
      </c>
      <c r="H169" s="51">
        <v>-2400000</v>
      </c>
      <c r="I169" s="103">
        <v>-2200000</v>
      </c>
      <c r="J169" s="89">
        <f>I169*DATAARK!$B$3</f>
        <v>-2200000</v>
      </c>
      <c r="K169" s="89">
        <f>J169*DATAARK!$C$3</f>
        <v>-2200000</v>
      </c>
      <c r="N169" s="40">
        <f t="shared" si="5"/>
        <v>0</v>
      </c>
    </row>
    <row r="170" spans="1:14" x14ac:dyDescent="0.25">
      <c r="A170" s="12" t="s">
        <v>284</v>
      </c>
      <c r="B170" s="12" t="s">
        <v>285</v>
      </c>
      <c r="C170" s="70">
        <v>-109624.75</v>
      </c>
      <c r="D170" s="70">
        <v>-350000</v>
      </c>
      <c r="E170" s="70">
        <v>68.680000000000007</v>
      </c>
      <c r="F170" s="70">
        <v>31.32</v>
      </c>
      <c r="G170" s="70">
        <v>-240375.25</v>
      </c>
      <c r="H170" s="51">
        <v>-350000</v>
      </c>
      <c r="I170" s="103">
        <v>-300000</v>
      </c>
      <c r="J170" s="89">
        <f>I170*DATAARK!$B$3</f>
        <v>-300000</v>
      </c>
      <c r="K170" s="89">
        <f>J170*DATAARK!$C$3</f>
        <v>-300000</v>
      </c>
      <c r="N170" s="40">
        <f t="shared" si="5"/>
        <v>0</v>
      </c>
    </row>
    <row r="171" spans="1:14" x14ac:dyDescent="0.25">
      <c r="A171" s="12" t="s">
        <v>286</v>
      </c>
      <c r="B171" s="12" t="s">
        <v>287</v>
      </c>
      <c r="C171" s="70">
        <v>-38500</v>
      </c>
      <c r="D171" s="70">
        <v>-35000</v>
      </c>
      <c r="E171" s="70">
        <v>-10</v>
      </c>
      <c r="F171" s="70">
        <v>110</v>
      </c>
      <c r="G171" s="70">
        <v>3500</v>
      </c>
      <c r="H171" s="51">
        <v>-100000</v>
      </c>
      <c r="I171" s="103">
        <v>-100000</v>
      </c>
      <c r="J171" s="89">
        <f>I171*DATAARK!$B$3</f>
        <v>-100000</v>
      </c>
      <c r="K171" s="89">
        <f>J171*DATAARK!$C$3</f>
        <v>-100000</v>
      </c>
      <c r="N171" s="40">
        <f t="shared" si="5"/>
        <v>0</v>
      </c>
    </row>
    <row r="172" spans="1:14" x14ac:dyDescent="0.25">
      <c r="A172" s="12" t="s">
        <v>288</v>
      </c>
      <c r="B172" s="12" t="s">
        <v>289</v>
      </c>
      <c r="C172" s="70">
        <v>-188417</v>
      </c>
      <c r="D172" s="70">
        <v>-281956.57</v>
      </c>
      <c r="E172" s="70">
        <v>33.18</v>
      </c>
      <c r="F172" s="70">
        <v>66.819999999999993</v>
      </c>
      <c r="G172" s="70">
        <v>-93539.57</v>
      </c>
      <c r="H172" s="51">
        <v>-756956.57000000007</v>
      </c>
      <c r="I172" s="103">
        <v>-200000</v>
      </c>
      <c r="J172" s="89">
        <f>I172*DATAARK!$B$3</f>
        <v>-200000</v>
      </c>
      <c r="K172" s="89">
        <f>J172*DATAARK!$C$3</f>
        <v>-200000</v>
      </c>
      <c r="N172" s="40">
        <f t="shared" si="5"/>
        <v>0</v>
      </c>
    </row>
    <row r="173" spans="1:14" x14ac:dyDescent="0.25">
      <c r="A173" s="12" t="s">
        <v>290</v>
      </c>
      <c r="B173" s="12" t="s">
        <v>291</v>
      </c>
      <c r="J173" s="89">
        <f>I173*DATAARK!$B$3</f>
        <v>0</v>
      </c>
      <c r="K173" s="89">
        <f>J173*DATAARK!$C$3</f>
        <v>0</v>
      </c>
      <c r="N173" s="40">
        <f t="shared" si="5"/>
        <v>0</v>
      </c>
    </row>
    <row r="174" spans="1:14" x14ac:dyDescent="0.25">
      <c r="A174" s="12" t="s">
        <v>292</v>
      </c>
      <c r="B174" s="12" t="s">
        <v>293</v>
      </c>
      <c r="C174" s="70">
        <v>-20923.86</v>
      </c>
      <c r="D174" s="70">
        <v>-8987.61</v>
      </c>
      <c r="E174" s="70">
        <v>-132.81</v>
      </c>
      <c r="F174" s="70">
        <v>232.81</v>
      </c>
      <c r="G174" s="70">
        <v>11936.25</v>
      </c>
      <c r="H174" s="51">
        <v>-20923.86</v>
      </c>
      <c r="I174" s="103">
        <f>-30000+Odense!I174+Laks!I174+Assens!I174+Nyborg!I174+Nordfyn!I174+Kerteminde!I174</f>
        <v>-291800</v>
      </c>
      <c r="J174" s="89">
        <f>I174*DATAARK!$B$3</f>
        <v>-291800</v>
      </c>
      <c r="K174" s="89">
        <f>J174*DATAARK!$C$3</f>
        <v>-291800</v>
      </c>
      <c r="N174" s="40">
        <f t="shared" si="5"/>
        <v>0</v>
      </c>
    </row>
    <row r="175" spans="1:14" x14ac:dyDescent="0.25">
      <c r="A175" s="12" t="s">
        <v>294</v>
      </c>
      <c r="B175" s="12" t="s">
        <v>295</v>
      </c>
      <c r="C175" s="70">
        <v>-1223402.74</v>
      </c>
      <c r="D175" s="70">
        <v>-218558.88</v>
      </c>
      <c r="E175" s="70">
        <v>-459.76</v>
      </c>
      <c r="F175" s="70">
        <v>559.76</v>
      </c>
      <c r="G175" s="70">
        <v>1004843.86</v>
      </c>
      <c r="H175" s="51">
        <v>-1223402.74</v>
      </c>
      <c r="I175" s="103">
        <v>-200000</v>
      </c>
      <c r="J175" s="89">
        <f>I175*DATAARK!$B$3</f>
        <v>-200000</v>
      </c>
      <c r="K175" s="89">
        <f>J175*DATAARK!$C$3</f>
        <v>-200000</v>
      </c>
      <c r="N175" s="40">
        <f t="shared" si="5"/>
        <v>0</v>
      </c>
    </row>
    <row r="176" spans="1:14" x14ac:dyDescent="0.25">
      <c r="A176" s="12" t="s">
        <v>296</v>
      </c>
      <c r="B176" s="12" t="s">
        <v>297</v>
      </c>
      <c r="C176" s="70">
        <v>-14822.72</v>
      </c>
      <c r="D176" s="70">
        <v>-50000</v>
      </c>
      <c r="E176" s="70">
        <v>70.349999999999994</v>
      </c>
      <c r="F176" s="70">
        <v>29.65</v>
      </c>
      <c r="G176" s="70">
        <v>-35177.279999999999</v>
      </c>
      <c r="H176" s="51">
        <v>-50000</v>
      </c>
      <c r="I176" s="103">
        <v>-20000</v>
      </c>
      <c r="J176" s="89">
        <f>I176*DATAARK!$B$3</f>
        <v>-20000</v>
      </c>
      <c r="K176" s="89">
        <f>J176*DATAARK!$C$3</f>
        <v>-20000</v>
      </c>
      <c r="N176" s="40">
        <f t="shared" si="5"/>
        <v>0</v>
      </c>
    </row>
    <row r="177" spans="1:14" x14ac:dyDescent="0.25">
      <c r="A177" s="12" t="s">
        <v>298</v>
      </c>
      <c r="B177" s="12" t="s">
        <v>299</v>
      </c>
      <c r="J177" s="89">
        <f>I177*DATAARK!$B$3</f>
        <v>0</v>
      </c>
      <c r="K177" s="89">
        <f>J177*DATAARK!$C$3</f>
        <v>0</v>
      </c>
      <c r="N177" s="40">
        <f t="shared" si="5"/>
        <v>0</v>
      </c>
    </row>
    <row r="178" spans="1:14" x14ac:dyDescent="0.25">
      <c r="A178" s="12" t="s">
        <v>300</v>
      </c>
      <c r="B178" s="12" t="s">
        <v>301</v>
      </c>
      <c r="C178" s="70">
        <v>-234162.44</v>
      </c>
      <c r="D178" s="70">
        <v>-70000</v>
      </c>
      <c r="E178" s="70">
        <v>-234.52</v>
      </c>
      <c r="F178" s="70">
        <v>334.52</v>
      </c>
      <c r="G178" s="70">
        <v>164162.44</v>
      </c>
      <c r="H178" s="51">
        <v>-234162.44</v>
      </c>
      <c r="I178" s="103">
        <v>-290000</v>
      </c>
      <c r="J178" s="89">
        <f>I178*DATAARK!$B$3</f>
        <v>-290000</v>
      </c>
      <c r="K178" s="89">
        <f>J178*DATAARK!$C$3</f>
        <v>-290000</v>
      </c>
      <c r="N178" s="40">
        <f t="shared" si="5"/>
        <v>0</v>
      </c>
    </row>
    <row r="179" spans="1:14" x14ac:dyDescent="0.25">
      <c r="A179" s="12" t="s">
        <v>302</v>
      </c>
      <c r="B179" s="12" t="s">
        <v>303</v>
      </c>
      <c r="C179" s="70">
        <v>-4956.78</v>
      </c>
      <c r="D179" s="70">
        <v>-20000</v>
      </c>
      <c r="E179" s="70">
        <v>75.22</v>
      </c>
      <c r="F179" s="70">
        <v>24.78</v>
      </c>
      <c r="G179" s="70">
        <v>-15043.22</v>
      </c>
      <c r="H179" s="51">
        <v>-20000</v>
      </c>
      <c r="I179" s="103">
        <v>-20000</v>
      </c>
      <c r="J179" s="89">
        <f>I179*DATAARK!$B$3</f>
        <v>-20000</v>
      </c>
      <c r="K179" s="89">
        <f>J179*DATAARK!$C$3</f>
        <v>-20000</v>
      </c>
      <c r="N179" s="40">
        <f t="shared" si="5"/>
        <v>0</v>
      </c>
    </row>
    <row r="180" spans="1:14" x14ac:dyDescent="0.25">
      <c r="A180" s="12" t="s">
        <v>304</v>
      </c>
      <c r="B180" s="12" t="s">
        <v>305</v>
      </c>
      <c r="D180" s="70">
        <v>-40000</v>
      </c>
      <c r="E180" s="70">
        <v>100</v>
      </c>
      <c r="G180" s="70">
        <v>-40000</v>
      </c>
      <c r="H180" s="51">
        <v>-20000</v>
      </c>
      <c r="I180" s="103">
        <v>-20000</v>
      </c>
      <c r="J180" s="89">
        <f>I180*DATAARK!$B$3</f>
        <v>-20000</v>
      </c>
      <c r="K180" s="89">
        <f>J180*DATAARK!$C$3</f>
        <v>-20000</v>
      </c>
      <c r="N180" s="40">
        <f t="shared" si="5"/>
        <v>0</v>
      </c>
    </row>
    <row r="181" spans="1:14" x14ac:dyDescent="0.25">
      <c r="A181" s="12" t="s">
        <v>306</v>
      </c>
      <c r="B181" s="12" t="s">
        <v>307</v>
      </c>
      <c r="J181" s="89">
        <f>I181*DATAARK!$B$3</f>
        <v>0</v>
      </c>
      <c r="K181" s="89">
        <f>J181*DATAARK!$C$3</f>
        <v>0</v>
      </c>
      <c r="N181" s="40">
        <f t="shared" si="5"/>
        <v>0</v>
      </c>
    </row>
    <row r="182" spans="1:14" x14ac:dyDescent="0.25">
      <c r="A182" s="12" t="s">
        <v>308</v>
      </c>
      <c r="B182" s="12" t="s">
        <v>309</v>
      </c>
      <c r="C182" s="70">
        <v>-93885.75</v>
      </c>
      <c r="D182" s="70">
        <v>-600000</v>
      </c>
      <c r="E182" s="70">
        <v>84.35</v>
      </c>
      <c r="F182" s="70">
        <v>15.65</v>
      </c>
      <c r="G182" s="70">
        <v>-506114.25</v>
      </c>
      <c r="H182" s="51">
        <v>-600000</v>
      </c>
      <c r="I182" s="103">
        <v>-200000</v>
      </c>
      <c r="J182" s="89">
        <f>I182*DATAARK!$B$3</f>
        <v>-200000</v>
      </c>
      <c r="K182" s="89">
        <f>J182*DATAARK!$C$3</f>
        <v>-200000</v>
      </c>
      <c r="N182" s="40">
        <f t="shared" si="5"/>
        <v>0</v>
      </c>
    </row>
    <row r="183" spans="1:14" x14ac:dyDescent="0.25">
      <c r="A183" s="12" t="s">
        <v>310</v>
      </c>
      <c r="B183" s="12" t="s">
        <v>311</v>
      </c>
      <c r="C183" s="70">
        <v>-1456</v>
      </c>
      <c r="D183" s="70">
        <v>-100</v>
      </c>
      <c r="E183" s="70">
        <v>-1356</v>
      </c>
      <c r="F183" s="70">
        <v>1456</v>
      </c>
      <c r="G183" s="70">
        <v>1356</v>
      </c>
      <c r="H183" s="51">
        <v>-1456</v>
      </c>
      <c r="I183" s="103">
        <v>-500</v>
      </c>
      <c r="J183" s="89">
        <f>I183*DATAARK!$B$3</f>
        <v>-500</v>
      </c>
      <c r="K183" s="89">
        <f>J183*DATAARK!$C$3</f>
        <v>-500</v>
      </c>
      <c r="N183" s="40">
        <f t="shared" si="5"/>
        <v>0</v>
      </c>
    </row>
    <row r="184" spans="1:14" x14ac:dyDescent="0.25">
      <c r="A184" s="12" t="s">
        <v>312</v>
      </c>
      <c r="B184" s="12" t="s">
        <v>313</v>
      </c>
      <c r="C184" s="70">
        <v>-13339.32</v>
      </c>
      <c r="G184" s="70">
        <v>13339.32</v>
      </c>
      <c r="H184" s="51">
        <v>13339.92</v>
      </c>
      <c r="I184" s="103">
        <v>-15000</v>
      </c>
      <c r="J184" s="89">
        <f>I184*DATAARK!$B$3</f>
        <v>-15000</v>
      </c>
      <c r="K184" s="89">
        <f>J184*DATAARK!$C$3</f>
        <v>-15000</v>
      </c>
      <c r="N184" s="40">
        <f t="shared" si="5"/>
        <v>0</v>
      </c>
    </row>
    <row r="185" spans="1:14" x14ac:dyDescent="0.25">
      <c r="A185" s="12" t="s">
        <v>314</v>
      </c>
      <c r="B185" s="12" t="s">
        <v>315</v>
      </c>
      <c r="C185" s="70">
        <v>-4500</v>
      </c>
      <c r="G185" s="70">
        <v>4500</v>
      </c>
      <c r="H185" s="51">
        <v>-4500</v>
      </c>
      <c r="I185" s="103">
        <f>C185</f>
        <v>-4500</v>
      </c>
      <c r="J185" s="89">
        <f>I185*DATAARK!$B$3</f>
        <v>-4500</v>
      </c>
      <c r="K185" s="89">
        <f>J185*DATAARK!$C$3</f>
        <v>-4500</v>
      </c>
      <c r="N185" s="40">
        <f t="shared" si="5"/>
        <v>0</v>
      </c>
    </row>
    <row r="186" spans="1:14" x14ac:dyDescent="0.25">
      <c r="A186" s="12" t="s">
        <v>316</v>
      </c>
      <c r="B186" s="12" t="s">
        <v>317</v>
      </c>
      <c r="C186" s="70">
        <v>-2994.02</v>
      </c>
      <c r="D186" s="70">
        <v>-10000</v>
      </c>
      <c r="E186" s="70">
        <v>70.06</v>
      </c>
      <c r="F186" s="70">
        <v>29.94</v>
      </c>
      <c r="G186" s="70">
        <v>-7005.98</v>
      </c>
      <c r="H186" s="51">
        <v>-10000</v>
      </c>
      <c r="I186" s="103">
        <v>-10000</v>
      </c>
      <c r="J186" s="89">
        <f>I186*DATAARK!$B$3</f>
        <v>-10000</v>
      </c>
      <c r="K186" s="89">
        <f>J186*DATAARK!$C$3</f>
        <v>-10000</v>
      </c>
      <c r="N186" s="40">
        <f t="shared" si="5"/>
        <v>0</v>
      </c>
    </row>
    <row r="187" spans="1:14" x14ac:dyDescent="0.25">
      <c r="A187" s="12" t="s">
        <v>318</v>
      </c>
      <c r="B187" s="12" t="s">
        <v>319</v>
      </c>
      <c r="C187" s="70">
        <v>-25909.27</v>
      </c>
      <c r="D187" s="70">
        <v>-30000</v>
      </c>
      <c r="E187" s="70">
        <v>13.64</v>
      </c>
      <c r="F187" s="70">
        <v>86.36</v>
      </c>
      <c r="G187" s="70">
        <v>-4090.73</v>
      </c>
      <c r="H187" s="51">
        <v>-30000</v>
      </c>
      <c r="I187" s="103">
        <v>-100000</v>
      </c>
      <c r="J187" s="89">
        <f>I187*DATAARK!$B$3</f>
        <v>-100000</v>
      </c>
      <c r="K187" s="89">
        <f>J187*DATAARK!$C$3</f>
        <v>-100000</v>
      </c>
      <c r="N187" s="40">
        <f t="shared" si="5"/>
        <v>0</v>
      </c>
    </row>
    <row r="188" spans="1:14" x14ac:dyDescent="0.25">
      <c r="A188" s="12" t="s">
        <v>320</v>
      </c>
      <c r="B188" s="12" t="s">
        <v>321</v>
      </c>
      <c r="C188" s="70">
        <v>-141.96</v>
      </c>
      <c r="G188" s="70">
        <v>141.96</v>
      </c>
      <c r="H188" s="51">
        <v>-141.96</v>
      </c>
      <c r="J188" s="89">
        <f>I188*DATAARK!$B$3</f>
        <v>0</v>
      </c>
      <c r="K188" s="89">
        <f>J188*DATAARK!$C$3</f>
        <v>0</v>
      </c>
      <c r="N188" s="40">
        <f t="shared" si="5"/>
        <v>0</v>
      </c>
    </row>
    <row r="189" spans="1:14" x14ac:dyDescent="0.25">
      <c r="A189" s="12" t="s">
        <v>322</v>
      </c>
      <c r="B189" s="12" t="s">
        <v>323</v>
      </c>
      <c r="J189" s="89">
        <f>I189*DATAARK!$B$3</f>
        <v>0</v>
      </c>
      <c r="K189" s="89">
        <f>J189*DATAARK!$C$3</f>
        <v>0</v>
      </c>
      <c r="N189" s="40">
        <f t="shared" si="5"/>
        <v>0</v>
      </c>
    </row>
    <row r="190" spans="1:14" x14ac:dyDescent="0.25">
      <c r="A190" s="12" t="s">
        <v>324</v>
      </c>
      <c r="B190" s="12" t="s">
        <v>325</v>
      </c>
      <c r="J190" s="89">
        <f>I190*DATAARK!$B$3</f>
        <v>0</v>
      </c>
      <c r="K190" s="89">
        <f>J190*DATAARK!$C$3</f>
        <v>0</v>
      </c>
      <c r="N190" s="40">
        <f t="shared" si="5"/>
        <v>0</v>
      </c>
    </row>
    <row r="191" spans="1:14" x14ac:dyDescent="0.25">
      <c r="A191" s="12" t="s">
        <v>326</v>
      </c>
      <c r="B191" s="12" t="s">
        <v>327</v>
      </c>
      <c r="J191" s="89">
        <f>I191*DATAARK!$B$3</f>
        <v>0</v>
      </c>
      <c r="K191" s="89">
        <f>J191*DATAARK!$C$3</f>
        <v>0</v>
      </c>
      <c r="N191" s="40">
        <f t="shared" si="5"/>
        <v>0</v>
      </c>
    </row>
    <row r="192" spans="1:14" x14ac:dyDescent="0.25">
      <c r="A192" s="12" t="s">
        <v>328</v>
      </c>
      <c r="B192" s="12" t="s">
        <v>329</v>
      </c>
      <c r="J192" s="89">
        <f>I192*DATAARK!$B$3</f>
        <v>0</v>
      </c>
      <c r="K192" s="89">
        <f>J192*DATAARK!$C$3</f>
        <v>0</v>
      </c>
      <c r="N192" s="40">
        <f t="shared" si="5"/>
        <v>0</v>
      </c>
    </row>
    <row r="193" spans="1:14" x14ac:dyDescent="0.25">
      <c r="A193" s="12" t="s">
        <v>330</v>
      </c>
      <c r="B193" s="12" t="s">
        <v>331</v>
      </c>
      <c r="J193" s="89">
        <f>I193*DATAARK!$B$3</f>
        <v>0</v>
      </c>
      <c r="K193" s="89">
        <f>J193*DATAARK!$C$3</f>
        <v>0</v>
      </c>
      <c r="N193" s="40">
        <f t="shared" si="5"/>
        <v>0</v>
      </c>
    </row>
    <row r="194" spans="1:14" x14ac:dyDescent="0.25">
      <c r="A194" s="12" t="s">
        <v>332</v>
      </c>
      <c r="B194" s="12" t="s">
        <v>333</v>
      </c>
      <c r="J194" s="89">
        <f>I194*DATAARK!$B$3</f>
        <v>0</v>
      </c>
      <c r="K194" s="89">
        <f>J194*DATAARK!$C$3</f>
        <v>0</v>
      </c>
      <c r="N194" s="40">
        <f t="shared" si="5"/>
        <v>0</v>
      </c>
    </row>
    <row r="195" spans="1:14" x14ac:dyDescent="0.25">
      <c r="A195" s="12" t="s">
        <v>334</v>
      </c>
      <c r="B195" s="12" t="s">
        <v>335</v>
      </c>
      <c r="C195" s="70">
        <v>-1.62</v>
      </c>
      <c r="D195" s="70">
        <v>20.49</v>
      </c>
      <c r="E195" s="70">
        <v>107.91</v>
      </c>
      <c r="F195" s="70">
        <v>-7.91</v>
      </c>
      <c r="G195" s="70">
        <v>22.11</v>
      </c>
      <c r="H195" s="51">
        <v>20.49</v>
      </c>
      <c r="I195" s="103">
        <v>-100</v>
      </c>
      <c r="J195" s="89">
        <f>I195*DATAARK!$B$3</f>
        <v>-100</v>
      </c>
      <c r="K195" s="89">
        <f>J195*DATAARK!$C$3</f>
        <v>-100</v>
      </c>
      <c r="N195" s="40">
        <f t="shared" si="5"/>
        <v>0</v>
      </c>
    </row>
    <row r="196" spans="1:14" x14ac:dyDescent="0.25">
      <c r="A196" s="12" t="s">
        <v>336</v>
      </c>
      <c r="B196" s="12" t="s">
        <v>337</v>
      </c>
      <c r="J196" s="89">
        <f>I196*DATAARK!$B$3</f>
        <v>0</v>
      </c>
      <c r="K196" s="89">
        <f>J196*DATAARK!$C$3</f>
        <v>0</v>
      </c>
      <c r="N196" s="40">
        <f t="shared" si="5"/>
        <v>0</v>
      </c>
    </row>
    <row r="197" spans="1:14" x14ac:dyDescent="0.25">
      <c r="A197" s="12" t="s">
        <v>338</v>
      </c>
      <c r="B197" s="12" t="s">
        <v>339</v>
      </c>
      <c r="J197" s="89">
        <f>I197*DATAARK!$B$3</f>
        <v>0</v>
      </c>
      <c r="K197" s="89">
        <f>J197*DATAARK!$C$3</f>
        <v>0</v>
      </c>
      <c r="N197" s="40">
        <f t="shared" si="5"/>
        <v>0</v>
      </c>
    </row>
    <row r="198" spans="1:14" x14ac:dyDescent="0.25">
      <c r="A198" s="13" t="s">
        <v>340</v>
      </c>
      <c r="B198" s="13" t="s">
        <v>341</v>
      </c>
      <c r="C198" s="71">
        <v>454043.64</v>
      </c>
      <c r="D198" s="71">
        <v>-5390293.1399999997</v>
      </c>
      <c r="E198" s="71">
        <v>108.42</v>
      </c>
      <c r="F198" s="71">
        <v>-8.42</v>
      </c>
      <c r="G198" s="71">
        <v>-5844336.7800000003</v>
      </c>
      <c r="H198" s="68">
        <v>2910951.8299999977</v>
      </c>
      <c r="I198" s="90">
        <f>SUM(I139:I197)</f>
        <v>1109186.9699999997</v>
      </c>
      <c r="J198" s="127">
        <f>SUM(J139:J197)</f>
        <v>2683493.7800000003</v>
      </c>
      <c r="K198" s="90">
        <f>SUM(K139:K197)</f>
        <v>1811338.9799999995</v>
      </c>
      <c r="N198" s="40">
        <f t="shared" si="5"/>
        <v>1</v>
      </c>
    </row>
    <row r="199" spans="1:14" x14ac:dyDescent="0.25">
      <c r="A199" s="12" t="s">
        <v>12</v>
      </c>
      <c r="B199" s="12" t="s">
        <v>12</v>
      </c>
      <c r="N199" s="40">
        <f t="shared" si="5"/>
        <v>0</v>
      </c>
    </row>
    <row r="200" spans="1:14" x14ac:dyDescent="0.25">
      <c r="A200" s="13" t="s">
        <v>342</v>
      </c>
      <c r="B200" s="13" t="s">
        <v>343</v>
      </c>
      <c r="C200" s="71"/>
      <c r="D200" s="71"/>
      <c r="E200" s="71"/>
      <c r="F200" s="71"/>
      <c r="G200" s="71"/>
      <c r="H200" s="68"/>
      <c r="I200" s="90"/>
      <c r="J200" s="127"/>
      <c r="K200" s="90"/>
      <c r="N200" s="40">
        <f t="shared" si="5"/>
        <v>0</v>
      </c>
    </row>
    <row r="201" spans="1:14" x14ac:dyDescent="0.25">
      <c r="A201" s="12" t="s">
        <v>344</v>
      </c>
      <c r="B201" s="12" t="s">
        <v>345</v>
      </c>
      <c r="J201" s="89">
        <f>I201*DATAARK!$B$3</f>
        <v>0</v>
      </c>
      <c r="K201" s="89">
        <f>J201*DATAARK!$C$3</f>
        <v>0</v>
      </c>
      <c r="N201" s="40">
        <f t="shared" si="5"/>
        <v>0</v>
      </c>
    </row>
    <row r="202" spans="1:14" x14ac:dyDescent="0.25">
      <c r="A202" s="12" t="s">
        <v>346</v>
      </c>
      <c r="B202" s="12" t="s">
        <v>347</v>
      </c>
      <c r="J202" s="89">
        <f>I202*DATAARK!$B$3</f>
        <v>0</v>
      </c>
      <c r="K202" s="89">
        <f>J202*DATAARK!$C$3</f>
        <v>0</v>
      </c>
      <c r="N202" s="40">
        <f t="shared" si="5"/>
        <v>0</v>
      </c>
    </row>
    <row r="203" spans="1:14" x14ac:dyDescent="0.25">
      <c r="A203" s="12" t="s">
        <v>348</v>
      </c>
      <c r="B203" s="12" t="s">
        <v>349</v>
      </c>
      <c r="J203" s="89">
        <f>I203*DATAARK!$B$3</f>
        <v>0</v>
      </c>
      <c r="K203" s="89">
        <f>J203*DATAARK!$C$3</f>
        <v>0</v>
      </c>
      <c r="N203" s="40">
        <f t="shared" si="5"/>
        <v>0</v>
      </c>
    </row>
    <row r="204" spans="1:14" x14ac:dyDescent="0.25">
      <c r="A204" s="12" t="s">
        <v>350</v>
      </c>
      <c r="B204" s="12" t="s">
        <v>351</v>
      </c>
      <c r="J204" s="89">
        <f>I204*DATAARK!$B$3</f>
        <v>0</v>
      </c>
      <c r="K204" s="89">
        <f>J204*DATAARK!$C$3</f>
        <v>0</v>
      </c>
      <c r="N204" s="40">
        <f t="shared" ref="N204:N245" si="6">IF(J204&gt;0,1,0)</f>
        <v>0</v>
      </c>
    </row>
    <row r="205" spans="1:14" x14ac:dyDescent="0.25">
      <c r="A205" s="12" t="s">
        <v>352</v>
      </c>
      <c r="B205" s="12" t="s">
        <v>353</v>
      </c>
      <c r="J205" s="89">
        <f>I205*DATAARK!$B$3</f>
        <v>0</v>
      </c>
      <c r="K205" s="89">
        <f>J205*DATAARK!$C$3</f>
        <v>0</v>
      </c>
      <c r="N205" s="40">
        <f t="shared" si="6"/>
        <v>0</v>
      </c>
    </row>
    <row r="206" spans="1:14" x14ac:dyDescent="0.25">
      <c r="A206" s="12" t="s">
        <v>354</v>
      </c>
      <c r="B206" s="12" t="s">
        <v>355</v>
      </c>
      <c r="C206" s="70">
        <v>418.28</v>
      </c>
      <c r="G206" s="70">
        <v>-418.28</v>
      </c>
      <c r="H206" s="51">
        <v>418.28</v>
      </c>
      <c r="J206" s="89">
        <f>I206*DATAARK!$B$3</f>
        <v>0</v>
      </c>
      <c r="K206" s="89">
        <f>J206*DATAARK!$C$3</f>
        <v>0</v>
      </c>
      <c r="N206" s="40">
        <f t="shared" si="6"/>
        <v>0</v>
      </c>
    </row>
    <row r="207" spans="1:14" x14ac:dyDescent="0.25">
      <c r="A207" s="12" t="s">
        <v>356</v>
      </c>
      <c r="B207" s="12" t="s">
        <v>357</v>
      </c>
      <c r="J207" s="89">
        <f>I207*DATAARK!$B$3</f>
        <v>0</v>
      </c>
      <c r="K207" s="89">
        <f>J207*DATAARK!$C$3</f>
        <v>0</v>
      </c>
      <c r="N207" s="40">
        <f t="shared" si="6"/>
        <v>0</v>
      </c>
    </row>
    <row r="208" spans="1:14" x14ac:dyDescent="0.25">
      <c r="A208" s="12" t="s">
        <v>358</v>
      </c>
      <c r="B208" s="12" t="s">
        <v>359</v>
      </c>
      <c r="J208" s="89">
        <f>I208*DATAARK!$B$3</f>
        <v>0</v>
      </c>
      <c r="K208" s="89">
        <f>J208*DATAARK!$C$3</f>
        <v>0</v>
      </c>
      <c r="N208" s="40">
        <f t="shared" si="6"/>
        <v>0</v>
      </c>
    </row>
    <row r="209" spans="1:14" x14ac:dyDescent="0.25">
      <c r="A209" s="13" t="s">
        <v>360</v>
      </c>
      <c r="B209" s="13" t="s">
        <v>361</v>
      </c>
      <c r="C209" s="71">
        <v>418.28</v>
      </c>
      <c r="D209" s="71"/>
      <c r="E209" s="71"/>
      <c r="F209" s="71"/>
      <c r="G209" s="71">
        <v>-418.28</v>
      </c>
      <c r="H209" s="68">
        <v>418.28</v>
      </c>
      <c r="I209" s="90">
        <f>SUM(I201:I208)</f>
        <v>0</v>
      </c>
      <c r="J209" s="127">
        <f>SUM(J201:J208)</f>
        <v>0</v>
      </c>
      <c r="K209" s="90">
        <f>SUM(K201:K208)</f>
        <v>0</v>
      </c>
      <c r="N209" s="40">
        <f t="shared" si="6"/>
        <v>0</v>
      </c>
    </row>
    <row r="210" spans="1:14" x14ac:dyDescent="0.25">
      <c r="A210" s="12" t="s">
        <v>12</v>
      </c>
      <c r="B210" s="12" t="s">
        <v>12</v>
      </c>
      <c r="N210" s="40">
        <f t="shared" si="6"/>
        <v>0</v>
      </c>
    </row>
    <row r="211" spans="1:14" x14ac:dyDescent="0.25">
      <c r="A211" s="13" t="s">
        <v>362</v>
      </c>
      <c r="B211" s="13" t="s">
        <v>40</v>
      </c>
      <c r="C211" s="71"/>
      <c r="D211" s="71"/>
      <c r="E211" s="71"/>
      <c r="F211" s="71"/>
      <c r="G211" s="71"/>
      <c r="H211" s="68"/>
      <c r="I211" s="90"/>
      <c r="J211" s="127"/>
      <c r="K211" s="90"/>
      <c r="N211" s="40">
        <f t="shared" si="6"/>
        <v>0</v>
      </c>
    </row>
    <row r="212" spans="1:14" x14ac:dyDescent="0.25">
      <c r="A212" s="12" t="s">
        <v>363</v>
      </c>
      <c r="B212" s="12" t="s">
        <v>364</v>
      </c>
      <c r="D212" s="70">
        <v>-245.74</v>
      </c>
      <c r="E212" s="70">
        <v>100</v>
      </c>
      <c r="G212" s="70">
        <v>-245.74</v>
      </c>
      <c r="H212" s="51">
        <v>-245.74</v>
      </c>
      <c r="I212" s="103">
        <v>0</v>
      </c>
      <c r="J212" s="89">
        <f>I212*DATAARK!$B$3</f>
        <v>0</v>
      </c>
      <c r="K212" s="89">
        <f>J212*DATAARK!$C$3</f>
        <v>0</v>
      </c>
      <c r="N212" s="40">
        <f t="shared" si="6"/>
        <v>0</v>
      </c>
    </row>
    <row r="213" spans="1:14" x14ac:dyDescent="0.25">
      <c r="A213" s="12" t="s">
        <v>365</v>
      </c>
      <c r="B213" s="12" t="s">
        <v>366</v>
      </c>
      <c r="J213" s="89">
        <f>I213*DATAARK!$B$3</f>
        <v>0</v>
      </c>
      <c r="K213" s="89">
        <f>J213*DATAARK!$C$3</f>
        <v>0</v>
      </c>
      <c r="N213" s="40">
        <f t="shared" si="6"/>
        <v>0</v>
      </c>
    </row>
    <row r="214" spans="1:14" x14ac:dyDescent="0.25">
      <c r="A214" s="12" t="s">
        <v>367</v>
      </c>
      <c r="B214" s="12" t="s">
        <v>368</v>
      </c>
      <c r="C214" s="70">
        <v>-3632.24</v>
      </c>
      <c r="G214" s="70">
        <v>3632.24</v>
      </c>
      <c r="H214" s="51">
        <v>-3632.24</v>
      </c>
      <c r="I214" s="103">
        <v>0</v>
      </c>
      <c r="J214" s="89">
        <f>I214*DATAARK!$B$3</f>
        <v>0</v>
      </c>
      <c r="K214" s="89">
        <f>J214*DATAARK!$C$3</f>
        <v>0</v>
      </c>
      <c r="N214" s="40">
        <f t="shared" si="6"/>
        <v>0</v>
      </c>
    </row>
    <row r="215" spans="1:14" x14ac:dyDescent="0.25">
      <c r="A215" s="12" t="s">
        <v>369</v>
      </c>
      <c r="B215" s="12" t="s">
        <v>370</v>
      </c>
      <c r="C215" s="70">
        <v>-100.54</v>
      </c>
      <c r="D215" s="70">
        <v>-7227.84</v>
      </c>
      <c r="E215" s="70">
        <v>98.61</v>
      </c>
      <c r="F215" s="70">
        <v>1.39</v>
      </c>
      <c r="G215" s="70">
        <v>-7127.3</v>
      </c>
      <c r="H215" s="51">
        <v>-7227.84</v>
      </c>
      <c r="I215" s="103">
        <v>0</v>
      </c>
      <c r="J215" s="89">
        <f>I215*DATAARK!$B$3</f>
        <v>0</v>
      </c>
      <c r="K215" s="89">
        <f>J215*DATAARK!$C$3</f>
        <v>0</v>
      </c>
      <c r="N215" s="40">
        <f t="shared" si="6"/>
        <v>0</v>
      </c>
    </row>
    <row r="216" spans="1:14" x14ac:dyDescent="0.25">
      <c r="A216" s="12" t="s">
        <v>371</v>
      </c>
      <c r="B216" s="12" t="s">
        <v>372</v>
      </c>
      <c r="J216" s="89">
        <f>I216*DATAARK!$B$3</f>
        <v>0</v>
      </c>
      <c r="K216" s="89">
        <f>J216*DATAARK!$C$3</f>
        <v>0</v>
      </c>
      <c r="N216" s="40">
        <f t="shared" si="6"/>
        <v>0</v>
      </c>
    </row>
    <row r="217" spans="1:14" x14ac:dyDescent="0.25">
      <c r="A217" s="12" t="s">
        <v>373</v>
      </c>
      <c r="B217" s="12" t="s">
        <v>374</v>
      </c>
      <c r="J217" s="89">
        <f>I217*DATAARK!$B$3</f>
        <v>0</v>
      </c>
      <c r="K217" s="89">
        <f>J217*DATAARK!$C$3</f>
        <v>0</v>
      </c>
      <c r="N217" s="40">
        <f t="shared" si="6"/>
        <v>0</v>
      </c>
    </row>
    <row r="218" spans="1:14" x14ac:dyDescent="0.25">
      <c r="A218" s="12" t="s">
        <v>375</v>
      </c>
      <c r="B218" s="12" t="s">
        <v>376</v>
      </c>
      <c r="J218" s="89">
        <f>I218*DATAARK!$B$3</f>
        <v>0</v>
      </c>
      <c r="K218" s="89">
        <f>J218*DATAARK!$C$3</f>
        <v>0</v>
      </c>
      <c r="N218" s="40">
        <f t="shared" si="6"/>
        <v>0</v>
      </c>
    </row>
    <row r="219" spans="1:14" x14ac:dyDescent="0.25">
      <c r="A219" s="13" t="s">
        <v>377</v>
      </c>
      <c r="B219" s="13" t="s">
        <v>378</v>
      </c>
      <c r="C219" s="71">
        <v>-3732.78</v>
      </c>
      <c r="D219" s="71">
        <v>-7473.58</v>
      </c>
      <c r="E219" s="71">
        <v>50.05</v>
      </c>
      <c r="F219" s="71">
        <v>49.95</v>
      </c>
      <c r="G219" s="71">
        <v>-3740.8</v>
      </c>
      <c r="H219" s="68">
        <v>-11105.82</v>
      </c>
      <c r="I219" s="90">
        <f>SUM(I212:I218)</f>
        <v>0</v>
      </c>
      <c r="J219" s="127">
        <f>SUM(J212:J218)</f>
        <v>0</v>
      </c>
      <c r="K219" s="90">
        <f>SUM(K212:K218)</f>
        <v>0</v>
      </c>
      <c r="N219" s="40">
        <f t="shared" si="6"/>
        <v>0</v>
      </c>
    </row>
    <row r="220" spans="1:14" x14ac:dyDescent="0.25">
      <c r="A220" s="12" t="s">
        <v>12</v>
      </c>
      <c r="B220" s="12" t="s">
        <v>12</v>
      </c>
      <c r="N220" s="40">
        <f t="shared" si="6"/>
        <v>0</v>
      </c>
    </row>
    <row r="221" spans="1:14" x14ac:dyDescent="0.25">
      <c r="A221" s="13" t="s">
        <v>379</v>
      </c>
      <c r="B221" s="13" t="s">
        <v>380</v>
      </c>
      <c r="C221" s="71"/>
      <c r="D221" s="71"/>
      <c r="E221" s="71"/>
      <c r="F221" s="71"/>
      <c r="G221" s="71"/>
      <c r="H221" s="68"/>
      <c r="I221" s="90"/>
      <c r="J221" s="127"/>
      <c r="K221" s="90"/>
      <c r="N221" s="40">
        <f t="shared" si="6"/>
        <v>0</v>
      </c>
    </row>
    <row r="222" spans="1:14" x14ac:dyDescent="0.25">
      <c r="A222" s="12" t="s">
        <v>381</v>
      </c>
      <c r="B222" s="12" t="s">
        <v>380</v>
      </c>
      <c r="J222" s="89">
        <f>I222*DATAARK!$B$3</f>
        <v>0</v>
      </c>
      <c r="K222" s="89">
        <f>J222*DATAARK!$C$3</f>
        <v>0</v>
      </c>
      <c r="N222" s="40">
        <f t="shared" si="6"/>
        <v>0</v>
      </c>
    </row>
    <row r="223" spans="1:14" x14ac:dyDescent="0.25">
      <c r="A223" s="13" t="s">
        <v>382</v>
      </c>
      <c r="B223" s="13" t="s">
        <v>383</v>
      </c>
      <c r="C223" s="71"/>
      <c r="D223" s="71"/>
      <c r="E223" s="71"/>
      <c r="F223" s="71"/>
      <c r="G223" s="71"/>
      <c r="H223" s="68">
        <v>0</v>
      </c>
      <c r="I223" s="90">
        <f>SUM(I222)</f>
        <v>0</v>
      </c>
      <c r="J223" s="127">
        <f>SUM(J222)</f>
        <v>0</v>
      </c>
      <c r="K223" s="90">
        <f>SUM(K222)</f>
        <v>0</v>
      </c>
      <c r="N223" s="40">
        <f t="shared" si="6"/>
        <v>0</v>
      </c>
    </row>
    <row r="224" spans="1:14" x14ac:dyDescent="0.25">
      <c r="A224" s="12" t="s">
        <v>12</v>
      </c>
      <c r="B224" s="12" t="s">
        <v>12</v>
      </c>
      <c r="N224" s="40">
        <f t="shared" si="6"/>
        <v>0</v>
      </c>
    </row>
    <row r="225" spans="1:14" x14ac:dyDescent="0.25">
      <c r="A225" s="13" t="s">
        <v>384</v>
      </c>
      <c r="B225" s="13" t="s">
        <v>385</v>
      </c>
      <c r="C225" s="71"/>
      <c r="D225" s="71"/>
      <c r="E225" s="71"/>
      <c r="F225" s="71"/>
      <c r="G225" s="71"/>
      <c r="H225" s="68"/>
      <c r="I225" s="90"/>
      <c r="J225" s="127"/>
      <c r="K225" s="90"/>
      <c r="N225" s="40">
        <f t="shared" si="6"/>
        <v>0</v>
      </c>
    </row>
    <row r="226" spans="1:14" x14ac:dyDescent="0.25">
      <c r="A226" s="12" t="s">
        <v>386</v>
      </c>
      <c r="B226" s="12" t="s">
        <v>385</v>
      </c>
      <c r="J226" s="89">
        <f>I226*DATAARK!$B$3</f>
        <v>0</v>
      </c>
      <c r="K226" s="89">
        <f>J226*DATAARK!$C$3</f>
        <v>0</v>
      </c>
      <c r="N226" s="40">
        <f t="shared" si="6"/>
        <v>0</v>
      </c>
    </row>
    <row r="227" spans="1:14" x14ac:dyDescent="0.25">
      <c r="A227" s="13" t="s">
        <v>387</v>
      </c>
      <c r="B227" s="13" t="s">
        <v>388</v>
      </c>
      <c r="C227" s="71"/>
      <c r="D227" s="71"/>
      <c r="E227" s="71"/>
      <c r="F227" s="71"/>
      <c r="G227" s="71"/>
      <c r="H227" s="68">
        <v>0</v>
      </c>
      <c r="I227" s="90">
        <f>I226</f>
        <v>0</v>
      </c>
      <c r="J227" s="127">
        <f>J226</f>
        <v>0</v>
      </c>
      <c r="K227" s="90">
        <f>K226</f>
        <v>0</v>
      </c>
      <c r="N227" s="40">
        <f t="shared" si="6"/>
        <v>0</v>
      </c>
    </row>
    <row r="228" spans="1:14" x14ac:dyDescent="0.25">
      <c r="A228" s="12" t="s">
        <v>12</v>
      </c>
      <c r="B228" s="12" t="s">
        <v>12</v>
      </c>
      <c r="N228" s="40">
        <f t="shared" si="6"/>
        <v>0</v>
      </c>
    </row>
    <row r="229" spans="1:14" ht="15.75" thickBot="1" x14ac:dyDescent="0.3">
      <c r="A229" s="14" t="s">
        <v>389</v>
      </c>
      <c r="B229" s="14" t="s">
        <v>390</v>
      </c>
      <c r="C229" s="72"/>
      <c r="D229" s="72"/>
      <c r="E229" s="72"/>
      <c r="F229" s="72"/>
      <c r="G229" s="72"/>
      <c r="H229" s="69">
        <v>0</v>
      </c>
      <c r="I229" s="106">
        <f>I227+I223+I219+I209+I198+I136+I127</f>
        <v>-1574306.8100000015</v>
      </c>
      <c r="J229" s="130">
        <f>J227+J223+J219+J209+J198+J136+J127</f>
        <v>0</v>
      </c>
      <c r="K229" s="106">
        <f>K227+K223+K219+K209+K198+K136+K127</f>
        <v>-1.862645149230957E-9</v>
      </c>
      <c r="N229" s="40">
        <f t="shared" si="6"/>
        <v>0</v>
      </c>
    </row>
    <row r="230" spans="1:14" ht="15.75" thickTop="1" x14ac:dyDescent="0.25">
      <c r="A230" s="12" t="s">
        <v>12</v>
      </c>
      <c r="B230" s="12" t="s">
        <v>12</v>
      </c>
      <c r="N230" s="40">
        <f t="shared" si="6"/>
        <v>0</v>
      </c>
    </row>
    <row r="231" spans="1:14" x14ac:dyDescent="0.25">
      <c r="A231" s="13" t="s">
        <v>391</v>
      </c>
      <c r="B231" s="13" t="s">
        <v>392</v>
      </c>
      <c r="C231" s="71"/>
      <c r="D231" s="71"/>
      <c r="E231" s="71"/>
      <c r="F231" s="71"/>
      <c r="G231" s="71"/>
      <c r="H231" s="68"/>
      <c r="I231" s="90"/>
      <c r="J231" s="127"/>
      <c r="K231" s="90"/>
      <c r="N231" s="40">
        <f t="shared" si="6"/>
        <v>0</v>
      </c>
    </row>
    <row r="232" spans="1:14" x14ac:dyDescent="0.25">
      <c r="A232" s="12" t="s">
        <v>393</v>
      </c>
      <c r="B232" s="12" t="s">
        <v>394</v>
      </c>
      <c r="J232" s="89">
        <f>I232*DATAARK!$B$3</f>
        <v>0</v>
      </c>
      <c r="K232" s="89">
        <f>J232*DATAARK!$C$3</f>
        <v>0</v>
      </c>
      <c r="N232" s="40">
        <f t="shared" si="6"/>
        <v>0</v>
      </c>
    </row>
    <row r="233" spans="1:14" x14ac:dyDescent="0.25">
      <c r="A233" s="12" t="s">
        <v>395</v>
      </c>
      <c r="B233" s="12" t="s">
        <v>396</v>
      </c>
      <c r="J233" s="89">
        <f>I233*DATAARK!$B$3</f>
        <v>0</v>
      </c>
      <c r="K233" s="89">
        <f>J233*DATAARK!$C$3</f>
        <v>0</v>
      </c>
      <c r="N233" s="40">
        <f t="shared" si="6"/>
        <v>0</v>
      </c>
    </row>
    <row r="234" spans="1:14" x14ac:dyDescent="0.25">
      <c r="A234" s="12" t="s">
        <v>397</v>
      </c>
      <c r="B234" s="12" t="s">
        <v>398</v>
      </c>
      <c r="J234" s="89">
        <f>I234*DATAARK!$B$3</f>
        <v>0</v>
      </c>
      <c r="K234" s="89">
        <f>J234*DATAARK!$C$3</f>
        <v>0</v>
      </c>
      <c r="N234" s="40">
        <f t="shared" si="6"/>
        <v>0</v>
      </c>
    </row>
    <row r="235" spans="1:14" x14ac:dyDescent="0.25">
      <c r="A235" s="13" t="s">
        <v>399</v>
      </c>
      <c r="B235" s="13" t="s">
        <v>400</v>
      </c>
      <c r="C235" s="71"/>
      <c r="D235" s="71"/>
      <c r="E235" s="71"/>
      <c r="F235" s="71"/>
      <c r="G235" s="71"/>
      <c r="H235" s="68">
        <v>0</v>
      </c>
      <c r="I235" s="90">
        <f>SUM(I232:I234)</f>
        <v>0</v>
      </c>
      <c r="J235" s="127">
        <f>SUM(J232:J234)</f>
        <v>0</v>
      </c>
      <c r="K235" s="90">
        <f>SUM(K232:K234)</f>
        <v>0</v>
      </c>
      <c r="N235" s="40">
        <f t="shared" si="6"/>
        <v>0</v>
      </c>
    </row>
    <row r="236" spans="1:14" x14ac:dyDescent="0.25">
      <c r="A236" s="12" t="s">
        <v>12</v>
      </c>
      <c r="B236" s="12" t="s">
        <v>12</v>
      </c>
      <c r="N236" s="40">
        <f t="shared" si="6"/>
        <v>0</v>
      </c>
    </row>
    <row r="237" spans="1:14" ht="15.75" thickBot="1" x14ac:dyDescent="0.3">
      <c r="A237" s="14" t="s">
        <v>12</v>
      </c>
      <c r="B237" s="14" t="s">
        <v>46</v>
      </c>
      <c r="C237" s="72"/>
      <c r="D237" s="72"/>
      <c r="E237" s="72"/>
      <c r="F237" s="72"/>
      <c r="G237" s="72"/>
      <c r="H237" s="69"/>
      <c r="I237" s="106"/>
      <c r="J237" s="130"/>
      <c r="K237" s="106"/>
      <c r="N237" s="40">
        <f t="shared" si="6"/>
        <v>0</v>
      </c>
    </row>
    <row r="238" spans="1:14" ht="15.75" thickTop="1" x14ac:dyDescent="0.25">
      <c r="A238" s="12" t="s">
        <v>12</v>
      </c>
      <c r="B238" s="12" t="s">
        <v>12</v>
      </c>
      <c r="N238" s="40">
        <f t="shared" si="6"/>
        <v>0</v>
      </c>
    </row>
    <row r="239" spans="1:14" x14ac:dyDescent="0.25">
      <c r="A239" s="12" t="s">
        <v>401</v>
      </c>
      <c r="B239" s="12" t="s">
        <v>402</v>
      </c>
      <c r="J239" s="89">
        <f>I239*DATAARK!$B$3</f>
        <v>0</v>
      </c>
      <c r="K239" s="89">
        <f>J239*DATAARK!$C$3</f>
        <v>0</v>
      </c>
      <c r="N239" s="40">
        <f t="shared" si="6"/>
        <v>0</v>
      </c>
    </row>
    <row r="240" spans="1:14" x14ac:dyDescent="0.25">
      <c r="A240" s="12" t="s">
        <v>403</v>
      </c>
      <c r="B240" s="12" t="s">
        <v>404</v>
      </c>
      <c r="J240" s="89">
        <f>I240*DATAARK!$B$3</f>
        <v>0</v>
      </c>
      <c r="K240" s="89">
        <f>J240*DATAARK!$C$3</f>
        <v>0</v>
      </c>
      <c r="N240" s="40">
        <f t="shared" si="6"/>
        <v>0</v>
      </c>
    </row>
    <row r="241" spans="1:14" x14ac:dyDescent="0.25">
      <c r="A241" s="12" t="s">
        <v>405</v>
      </c>
      <c r="B241" s="12" t="s">
        <v>406</v>
      </c>
      <c r="J241" s="89">
        <f>I241*DATAARK!$B$3</f>
        <v>0</v>
      </c>
      <c r="K241" s="89">
        <f>J241*DATAARK!$C$3</f>
        <v>0</v>
      </c>
      <c r="N241" s="40">
        <f t="shared" si="6"/>
        <v>0</v>
      </c>
    </row>
    <row r="242" spans="1:14" x14ac:dyDescent="0.25">
      <c r="A242" s="12" t="s">
        <v>407</v>
      </c>
      <c r="B242" s="12" t="s">
        <v>408</v>
      </c>
      <c r="J242" s="89">
        <f>I242*DATAARK!$B$3</f>
        <v>0</v>
      </c>
      <c r="K242" s="89">
        <f>J242*DATAARK!$C$3</f>
        <v>0</v>
      </c>
      <c r="N242" s="40">
        <f t="shared" si="6"/>
        <v>0</v>
      </c>
    </row>
    <row r="243" spans="1:14" x14ac:dyDescent="0.25">
      <c r="A243" s="13" t="s">
        <v>409</v>
      </c>
      <c r="B243" s="13" t="s">
        <v>410</v>
      </c>
      <c r="C243" s="71"/>
      <c r="D243" s="71"/>
      <c r="E243" s="71"/>
      <c r="F243" s="71"/>
      <c r="G243" s="71"/>
      <c r="H243" s="68">
        <v>0</v>
      </c>
      <c r="I243" s="90">
        <f>SUM(I239:I242)</f>
        <v>0</v>
      </c>
      <c r="J243" s="89">
        <f>I243*DATAARK!$B$3</f>
        <v>0</v>
      </c>
      <c r="K243" s="89">
        <f>J243*DATAARK!$C$3</f>
        <v>0</v>
      </c>
      <c r="N243" s="40">
        <f t="shared" si="6"/>
        <v>0</v>
      </c>
    </row>
    <row r="244" spans="1:14" x14ac:dyDescent="0.25">
      <c r="A244" s="12" t="s">
        <v>12</v>
      </c>
      <c r="B244" s="12" t="s">
        <v>12</v>
      </c>
      <c r="N244" s="40">
        <f t="shared" si="6"/>
        <v>0</v>
      </c>
    </row>
    <row r="245" spans="1:14" ht="15.75" thickBot="1" x14ac:dyDescent="0.3">
      <c r="A245" s="14" t="s">
        <v>411</v>
      </c>
      <c r="B245" s="14" t="s">
        <v>49</v>
      </c>
      <c r="C245" s="72"/>
      <c r="D245" s="72"/>
      <c r="E245" s="72"/>
      <c r="F245" s="72"/>
      <c r="G245" s="72"/>
      <c r="H245" s="69">
        <v>0</v>
      </c>
      <c r="I245" s="106">
        <f>I229+I235+I243</f>
        <v>-1574306.8100000015</v>
      </c>
      <c r="J245" s="130">
        <f>J229+J235+J243</f>
        <v>0</v>
      </c>
      <c r="K245" s="106">
        <f>K229+K235+K243</f>
        <v>-1.862645149230957E-9</v>
      </c>
      <c r="N245" s="40">
        <f t="shared" si="6"/>
        <v>0</v>
      </c>
    </row>
    <row r="246" spans="1:14" ht="15.75" thickTop="1" x14ac:dyDescent="0.25"/>
  </sheetData>
  <conditionalFormatting sqref="N1:N1048576">
    <cfRule type="cellIs" dxfId="335" priority="48" operator="equal">
      <formula>1</formula>
    </cfRule>
  </conditionalFormatting>
  <conditionalFormatting sqref="N130:N136">
    <cfRule type="cellIs" dxfId="334" priority="47" operator="equal">
      <formula>2</formula>
    </cfRule>
  </conditionalFormatting>
  <conditionalFormatting sqref="N121">
    <cfRule type="cellIs" dxfId="333" priority="46" operator="equal">
      <formula>2</formula>
    </cfRule>
  </conditionalFormatting>
  <conditionalFormatting sqref="N120">
    <cfRule type="cellIs" dxfId="332" priority="45" operator="equal">
      <formula>2</formula>
    </cfRule>
  </conditionalFormatting>
  <conditionalFormatting sqref="N119">
    <cfRule type="cellIs" dxfId="331" priority="44" operator="equal">
      <formula>2</formula>
    </cfRule>
  </conditionalFormatting>
  <conditionalFormatting sqref="N118">
    <cfRule type="cellIs" dxfId="330" priority="43" operator="equal">
      <formula>2</formula>
    </cfRule>
  </conditionalFormatting>
  <conditionalFormatting sqref="N117">
    <cfRule type="cellIs" dxfId="329" priority="42" operator="equal">
      <formula>2</formula>
    </cfRule>
  </conditionalFormatting>
  <conditionalFormatting sqref="N116">
    <cfRule type="cellIs" dxfId="328" priority="41" operator="equal">
      <formula>2</formula>
    </cfRule>
  </conditionalFormatting>
  <conditionalFormatting sqref="N115">
    <cfRule type="cellIs" dxfId="327" priority="40" operator="equal">
      <formula>2</formula>
    </cfRule>
  </conditionalFormatting>
  <conditionalFormatting sqref="N116">
    <cfRule type="cellIs" dxfId="326" priority="39" operator="equal">
      <formula>2</formula>
    </cfRule>
  </conditionalFormatting>
  <conditionalFormatting sqref="N117">
    <cfRule type="cellIs" dxfId="325" priority="38" operator="equal">
      <formula>2</formula>
    </cfRule>
  </conditionalFormatting>
  <conditionalFormatting sqref="N118">
    <cfRule type="cellIs" dxfId="324" priority="37" operator="equal">
      <formula>2</formula>
    </cfRule>
  </conditionalFormatting>
  <conditionalFormatting sqref="N119">
    <cfRule type="cellIs" dxfId="323" priority="36" operator="equal">
      <formula>2</formula>
    </cfRule>
  </conditionalFormatting>
  <conditionalFormatting sqref="N120">
    <cfRule type="cellIs" dxfId="322" priority="35" operator="equal">
      <formula>2</formula>
    </cfRule>
  </conditionalFormatting>
  <conditionalFormatting sqref="N121">
    <cfRule type="cellIs" dxfId="321" priority="34" operator="equal">
      <formula>2</formula>
    </cfRule>
  </conditionalFormatting>
  <conditionalFormatting sqref="N116">
    <cfRule type="cellIs" dxfId="320" priority="33" operator="equal">
      <formula>2</formula>
    </cfRule>
  </conditionalFormatting>
  <conditionalFormatting sqref="N117">
    <cfRule type="cellIs" dxfId="319" priority="32" operator="equal">
      <formula>2</formula>
    </cfRule>
  </conditionalFormatting>
  <conditionalFormatting sqref="N118">
    <cfRule type="cellIs" dxfId="318" priority="31" operator="equal">
      <formula>2</formula>
    </cfRule>
  </conditionalFormatting>
  <conditionalFormatting sqref="N119">
    <cfRule type="cellIs" dxfId="317" priority="30" operator="equal">
      <formula>2</formula>
    </cfRule>
  </conditionalFormatting>
  <conditionalFormatting sqref="N120">
    <cfRule type="cellIs" dxfId="316" priority="29" operator="equal">
      <formula>2</formula>
    </cfRule>
  </conditionalFormatting>
  <conditionalFormatting sqref="N121">
    <cfRule type="cellIs" dxfId="315" priority="28" operator="equal">
      <formula>2</formula>
    </cfRule>
  </conditionalFormatting>
  <conditionalFormatting sqref="N130">
    <cfRule type="cellIs" dxfId="314" priority="27" operator="equal">
      <formula>2</formula>
    </cfRule>
  </conditionalFormatting>
  <conditionalFormatting sqref="N131">
    <cfRule type="cellIs" dxfId="313" priority="26" operator="equal">
      <formula>2</formula>
    </cfRule>
  </conditionalFormatting>
  <conditionalFormatting sqref="N132">
    <cfRule type="cellIs" dxfId="312" priority="25" operator="equal">
      <formula>2</formula>
    </cfRule>
  </conditionalFormatting>
  <conditionalFormatting sqref="N133">
    <cfRule type="cellIs" dxfId="311" priority="24" operator="equal">
      <formula>2</formula>
    </cfRule>
  </conditionalFormatting>
  <conditionalFormatting sqref="N134">
    <cfRule type="cellIs" dxfId="310" priority="23" operator="equal">
      <formula>2</formula>
    </cfRule>
  </conditionalFormatting>
  <conditionalFormatting sqref="N135">
    <cfRule type="cellIs" dxfId="309" priority="22" operator="equal">
      <formula>2</formula>
    </cfRule>
  </conditionalFormatting>
  <conditionalFormatting sqref="N136">
    <cfRule type="cellIs" dxfId="308" priority="21" operator="equal">
      <formula>2</formula>
    </cfRule>
  </conditionalFormatting>
  <conditionalFormatting sqref="N59">
    <cfRule type="cellIs" dxfId="307" priority="20" operator="equal">
      <formula>2</formula>
    </cfRule>
  </conditionalFormatting>
  <conditionalFormatting sqref="N58">
    <cfRule type="cellIs" dxfId="306" priority="19" operator="equal">
      <formula>2</formula>
    </cfRule>
  </conditionalFormatting>
  <conditionalFormatting sqref="N57">
    <cfRule type="cellIs" dxfId="305" priority="18" operator="equal">
      <formula>2</formula>
    </cfRule>
  </conditionalFormatting>
  <conditionalFormatting sqref="N56">
    <cfRule type="cellIs" dxfId="304" priority="17" operator="equal">
      <formula>2</formula>
    </cfRule>
  </conditionalFormatting>
  <conditionalFormatting sqref="N55">
    <cfRule type="cellIs" dxfId="303" priority="16" operator="equal">
      <formula>2</formula>
    </cfRule>
  </conditionalFormatting>
  <conditionalFormatting sqref="N54">
    <cfRule type="cellIs" dxfId="302" priority="15" operator="equal">
      <formula>2</formula>
    </cfRule>
  </conditionalFormatting>
  <conditionalFormatting sqref="N53">
    <cfRule type="cellIs" dxfId="301" priority="14" operator="equal">
      <formula>2</formula>
    </cfRule>
  </conditionalFormatting>
  <conditionalFormatting sqref="N52">
    <cfRule type="cellIs" dxfId="300" priority="13" operator="equal">
      <formula>2</formula>
    </cfRule>
  </conditionalFormatting>
  <conditionalFormatting sqref="N51">
    <cfRule type="cellIs" dxfId="299" priority="12" operator="equal">
      <formula>2</formula>
    </cfRule>
  </conditionalFormatting>
  <conditionalFormatting sqref="N50">
    <cfRule type="cellIs" dxfId="298" priority="11" operator="equal">
      <formula>2</formula>
    </cfRule>
  </conditionalFormatting>
  <conditionalFormatting sqref="N49">
    <cfRule type="cellIs" dxfId="297" priority="10" operator="equal">
      <formula>2</formula>
    </cfRule>
  </conditionalFormatting>
  <conditionalFormatting sqref="N48">
    <cfRule type="cellIs" dxfId="296" priority="9" operator="equal">
      <formula>2</formula>
    </cfRule>
  </conditionalFormatting>
  <conditionalFormatting sqref="N44">
    <cfRule type="cellIs" dxfId="295" priority="8" operator="equal">
      <formula>2</formula>
    </cfRule>
  </conditionalFormatting>
  <conditionalFormatting sqref="N45">
    <cfRule type="cellIs" dxfId="294" priority="7" operator="equal">
      <formula>2</formula>
    </cfRule>
  </conditionalFormatting>
  <conditionalFormatting sqref="N40">
    <cfRule type="cellIs" dxfId="293" priority="6" operator="equal">
      <formula>2</formula>
    </cfRule>
  </conditionalFormatting>
  <conditionalFormatting sqref="N41">
    <cfRule type="cellIs" dxfId="292" priority="5" operator="equal">
      <formula>2</formula>
    </cfRule>
  </conditionalFormatting>
  <conditionalFormatting sqref="N42">
    <cfRule type="cellIs" dxfId="291" priority="4" operator="equal">
      <formula>2</formula>
    </cfRule>
  </conditionalFormatting>
  <conditionalFormatting sqref="N43">
    <cfRule type="cellIs" dxfId="290" priority="3" operator="equal">
      <formula>2</formula>
    </cfRule>
  </conditionalFormatting>
  <conditionalFormatting sqref="N44">
    <cfRule type="cellIs" dxfId="289" priority="2" operator="equal">
      <formula>2</formula>
    </cfRule>
  </conditionalFormatting>
  <conditionalFormatting sqref="N62">
    <cfRule type="cellIs" dxfId="288" priority="1" operator="equal">
      <formula>2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251"/>
  <sheetViews>
    <sheetView topLeftCell="A85" workbookViewId="0">
      <selection activeCell="K110" sqref="K110"/>
    </sheetView>
  </sheetViews>
  <sheetFormatPr defaultRowHeight="15" x14ac:dyDescent="0.25"/>
  <cols>
    <col min="1" max="1" width="17.7109375" bestFit="1" customWidth="1"/>
    <col min="2" max="2" width="48.7109375" bestFit="1" customWidth="1"/>
    <col min="3" max="4" width="14" style="70" bestFit="1" customWidth="1"/>
    <col min="5" max="5" width="10.28515625" style="70" hidden="1" customWidth="1"/>
    <col min="6" max="6" width="19.42578125" style="70" hidden="1" customWidth="1"/>
    <col min="7" max="7" width="14" style="70" hidden="1" customWidth="1"/>
    <col min="8" max="8" width="14" style="70" customWidth="1"/>
    <col min="9" max="9" width="14" style="103" bestFit="1" customWidth="1"/>
    <col min="10" max="10" width="19.42578125" style="89" bestFit="1" customWidth="1"/>
    <col min="11" max="11" width="18" style="103" bestFit="1" customWidth="1"/>
    <col min="13" max="13" width="11.7109375" bestFit="1" customWidth="1"/>
    <col min="14" max="14" width="9.140625" style="40"/>
  </cols>
  <sheetData>
    <row r="1" spans="1:11" x14ac:dyDescent="0.25">
      <c r="A1" s="41" t="s">
        <v>0</v>
      </c>
      <c r="B1" s="40"/>
      <c r="J1" s="103"/>
    </row>
    <row r="2" spans="1:11" x14ac:dyDescent="0.25">
      <c r="A2" s="42" t="s">
        <v>1</v>
      </c>
      <c r="B2" s="42" t="s">
        <v>2</v>
      </c>
      <c r="J2" s="103"/>
    </row>
    <row r="3" spans="1:11" x14ac:dyDescent="0.25">
      <c r="A3" s="42" t="s">
        <v>3</v>
      </c>
      <c r="B3" s="42" t="s">
        <v>4</v>
      </c>
      <c r="J3" s="103"/>
    </row>
    <row r="4" spans="1:11" x14ac:dyDescent="0.25">
      <c r="A4" s="42" t="s">
        <v>412</v>
      </c>
      <c r="B4" s="42" t="s">
        <v>47</v>
      </c>
      <c r="J4" s="103"/>
    </row>
    <row r="5" spans="1:11" x14ac:dyDescent="0.25">
      <c r="J5" s="103"/>
    </row>
    <row r="6" spans="1:11" x14ac:dyDescent="0.25">
      <c r="A6" s="42" t="s">
        <v>5</v>
      </c>
      <c r="B6" s="42" t="s">
        <v>6</v>
      </c>
      <c r="J6" s="103"/>
    </row>
    <row r="7" spans="1:11" x14ac:dyDescent="0.25">
      <c r="J7" s="103"/>
    </row>
    <row r="8" spans="1:11" x14ac:dyDescent="0.25">
      <c r="A8" s="40"/>
      <c r="B8" s="40"/>
      <c r="C8" s="71" t="s">
        <v>7</v>
      </c>
      <c r="D8" s="71" t="s">
        <v>8</v>
      </c>
      <c r="E8" s="71" t="s">
        <v>9</v>
      </c>
      <c r="F8" s="71" t="s">
        <v>10</v>
      </c>
      <c r="G8" s="71" t="s">
        <v>11</v>
      </c>
      <c r="H8" s="68" t="s">
        <v>428</v>
      </c>
      <c r="I8" s="118">
        <v>123</v>
      </c>
      <c r="J8" s="96" t="s">
        <v>472</v>
      </c>
      <c r="K8" s="96" t="s">
        <v>473</v>
      </c>
    </row>
    <row r="9" spans="1:11" x14ac:dyDescent="0.25">
      <c r="A9" s="43" t="s">
        <v>12</v>
      </c>
      <c r="B9" s="43" t="s">
        <v>13</v>
      </c>
      <c r="C9" s="71" t="s">
        <v>478</v>
      </c>
      <c r="D9" s="71">
        <v>2021</v>
      </c>
      <c r="E9" s="71"/>
      <c r="F9" s="71"/>
      <c r="G9" s="71"/>
      <c r="H9" s="68">
        <v>2021</v>
      </c>
      <c r="I9" s="96">
        <v>2021</v>
      </c>
      <c r="J9" s="95">
        <v>2022</v>
      </c>
      <c r="K9" s="96">
        <v>2023</v>
      </c>
    </row>
    <row r="10" spans="1:11" x14ac:dyDescent="0.25">
      <c r="A10" s="42" t="s">
        <v>12</v>
      </c>
      <c r="B10" s="42" t="s">
        <v>12</v>
      </c>
      <c r="I10" s="119"/>
      <c r="J10" s="119"/>
      <c r="K10" s="119"/>
    </row>
    <row r="11" spans="1:11" x14ac:dyDescent="0.25">
      <c r="A11" s="42" t="s">
        <v>14</v>
      </c>
      <c r="B11" s="42" t="s">
        <v>15</v>
      </c>
      <c r="C11" s="70">
        <v>13897827.65</v>
      </c>
      <c r="D11" s="70">
        <v>31783837.309999999</v>
      </c>
      <c r="E11" s="70">
        <v>56.27</v>
      </c>
      <c r="F11" s="70">
        <v>43.73</v>
      </c>
      <c r="G11" s="70">
        <v>17886009.66</v>
      </c>
      <c r="H11" s="70">
        <v>26701077.614952132</v>
      </c>
      <c r="I11" s="119">
        <f>I46</f>
        <v>26701077.614952132</v>
      </c>
      <c r="J11" s="93">
        <f>J46</f>
        <v>23663652</v>
      </c>
      <c r="K11" s="119">
        <f>K46</f>
        <v>23663652</v>
      </c>
    </row>
    <row r="12" spans="1:11" x14ac:dyDescent="0.25">
      <c r="A12" s="42" t="s">
        <v>16</v>
      </c>
      <c r="B12" s="42" t="s">
        <v>17</v>
      </c>
      <c r="C12" s="70">
        <v>307843.27</v>
      </c>
      <c r="D12" s="70">
        <v>823821.67</v>
      </c>
      <c r="E12" s="70">
        <v>62.63</v>
      </c>
      <c r="F12" s="70">
        <v>37.369999999999997</v>
      </c>
      <c r="G12" s="70">
        <v>515978.4</v>
      </c>
      <c r="H12" s="70">
        <v>677012.72</v>
      </c>
      <c r="I12" s="119">
        <f>I59</f>
        <v>560073.6</v>
      </c>
      <c r="J12" s="93">
        <f>J59</f>
        <v>560073.6</v>
      </c>
      <c r="K12" s="119">
        <f>K59</f>
        <v>560073.6</v>
      </c>
    </row>
    <row r="13" spans="1:11" x14ac:dyDescent="0.25">
      <c r="A13" s="42" t="s">
        <v>18</v>
      </c>
      <c r="B13" s="42" t="s">
        <v>19</v>
      </c>
      <c r="C13" s="70">
        <v>234696</v>
      </c>
      <c r="G13" s="70">
        <v>-234696</v>
      </c>
      <c r="H13" s="70">
        <v>469392</v>
      </c>
      <c r="I13" s="119">
        <f>I63</f>
        <v>469392</v>
      </c>
      <c r="J13" s="93">
        <f>J63</f>
        <v>469392</v>
      </c>
      <c r="K13" s="119">
        <f>K63</f>
        <v>469392</v>
      </c>
    </row>
    <row r="14" spans="1:11" x14ac:dyDescent="0.25">
      <c r="A14" s="43" t="s">
        <v>20</v>
      </c>
      <c r="B14" s="43" t="s">
        <v>21</v>
      </c>
      <c r="C14" s="71">
        <v>14440366.92</v>
      </c>
      <c r="D14" s="71">
        <v>32607658.98</v>
      </c>
      <c r="E14" s="71">
        <v>55.71</v>
      </c>
      <c r="F14" s="71">
        <v>44.29</v>
      </c>
      <c r="G14" s="71">
        <v>18167292.059999999</v>
      </c>
      <c r="H14" s="71">
        <v>27847482.334952131</v>
      </c>
      <c r="I14" s="96">
        <f>SUM(I11:I13)</f>
        <v>27730543.214952134</v>
      </c>
      <c r="J14" s="95">
        <f>SUM(J11:J13)</f>
        <v>24693117.600000001</v>
      </c>
      <c r="K14" s="96">
        <f>SUM(K11:K13)</f>
        <v>24693117.600000001</v>
      </c>
    </row>
    <row r="15" spans="1:11" x14ac:dyDescent="0.25">
      <c r="A15" s="42" t="s">
        <v>12</v>
      </c>
      <c r="B15" s="42" t="s">
        <v>12</v>
      </c>
      <c r="I15" s="119"/>
      <c r="J15" s="119"/>
      <c r="K15" s="119"/>
    </row>
    <row r="16" spans="1:11" x14ac:dyDescent="0.25">
      <c r="A16" s="43" t="s">
        <v>12</v>
      </c>
      <c r="B16" s="43" t="s">
        <v>22</v>
      </c>
      <c r="C16" s="71"/>
      <c r="D16" s="71"/>
      <c r="E16" s="71"/>
      <c r="F16" s="71"/>
      <c r="G16" s="71"/>
      <c r="H16" s="71"/>
      <c r="I16" s="96"/>
      <c r="J16" s="95"/>
      <c r="K16" s="96"/>
    </row>
    <row r="17" spans="1:11" x14ac:dyDescent="0.25">
      <c r="A17" s="42" t="s">
        <v>23</v>
      </c>
      <c r="B17" s="42" t="s">
        <v>24</v>
      </c>
      <c r="I17" s="119"/>
      <c r="J17" s="93"/>
      <c r="K17" s="119"/>
    </row>
    <row r="18" spans="1:11" x14ac:dyDescent="0.25">
      <c r="A18" s="42" t="s">
        <v>25</v>
      </c>
      <c r="B18" s="42" t="s">
        <v>26</v>
      </c>
      <c r="C18" s="70">
        <v>-13544.87</v>
      </c>
      <c r="G18" s="70">
        <v>13544.87</v>
      </c>
      <c r="H18" s="70">
        <v>-13544.869999999999</v>
      </c>
      <c r="I18" s="119">
        <f>I77</f>
        <v>-13544.869999999999</v>
      </c>
      <c r="J18" s="93">
        <f>J77</f>
        <v>-13544.869999999999</v>
      </c>
      <c r="K18" s="119">
        <f>K77</f>
        <v>-13544.869999999999</v>
      </c>
    </row>
    <row r="19" spans="1:11" x14ac:dyDescent="0.25">
      <c r="A19" s="42" t="s">
        <v>27</v>
      </c>
      <c r="B19" s="42" t="s">
        <v>28</v>
      </c>
      <c r="I19" s="119"/>
      <c r="J19" s="93"/>
      <c r="K19" s="119"/>
    </row>
    <row r="20" spans="1:11" x14ac:dyDescent="0.25">
      <c r="A20" s="42" t="s">
        <v>12</v>
      </c>
      <c r="B20" s="42" t="s">
        <v>12</v>
      </c>
      <c r="I20" s="119"/>
      <c r="J20" s="93"/>
      <c r="K20" s="119"/>
    </row>
    <row r="21" spans="1:11" x14ac:dyDescent="0.25">
      <c r="A21" s="42" t="s">
        <v>29</v>
      </c>
      <c r="B21" s="42" t="s">
        <v>30</v>
      </c>
      <c r="C21" s="70">
        <v>-11387058.869999999</v>
      </c>
      <c r="D21" s="70">
        <v>-21717043.949999999</v>
      </c>
      <c r="E21" s="70">
        <v>47.57</v>
      </c>
      <c r="F21" s="70">
        <v>52.43</v>
      </c>
      <c r="G21" s="70">
        <v>-10329985.08</v>
      </c>
      <c r="H21" s="70">
        <v>-20640258.600000001</v>
      </c>
      <c r="I21" s="119">
        <f>I123</f>
        <v>-14766934.760000002</v>
      </c>
      <c r="J21" s="93">
        <f>J123</f>
        <v>-14766934.760000002</v>
      </c>
      <c r="K21" s="119">
        <f>K123</f>
        <v>-13758958.779999999</v>
      </c>
    </row>
    <row r="22" spans="1:11" x14ac:dyDescent="0.25">
      <c r="A22" s="43" t="s">
        <v>31</v>
      </c>
      <c r="B22" s="43" t="s">
        <v>32</v>
      </c>
      <c r="C22" s="71">
        <v>-11400603.74</v>
      </c>
      <c r="D22" s="71">
        <v>-21717043.949999999</v>
      </c>
      <c r="E22" s="71">
        <v>47.5</v>
      </c>
      <c r="F22" s="71">
        <v>52.5</v>
      </c>
      <c r="G22" s="71">
        <v>-10316440.210000001</v>
      </c>
      <c r="H22" s="71">
        <v>-20640258.600000001</v>
      </c>
      <c r="I22" s="96">
        <f>I21</f>
        <v>-14766934.760000002</v>
      </c>
      <c r="J22" s="95">
        <f>J21</f>
        <v>-14766934.760000002</v>
      </c>
      <c r="K22" s="96">
        <f>K21</f>
        <v>-13758958.779999999</v>
      </c>
    </row>
    <row r="23" spans="1:11" x14ac:dyDescent="0.25">
      <c r="A23" s="42" t="s">
        <v>12</v>
      </c>
      <c r="B23" s="42" t="s">
        <v>12</v>
      </c>
      <c r="I23" s="119"/>
      <c r="J23" s="93"/>
      <c r="K23" s="119"/>
    </row>
    <row r="24" spans="1:11" x14ac:dyDescent="0.25">
      <c r="A24" s="42" t="s">
        <v>33</v>
      </c>
      <c r="B24" s="42" t="s">
        <v>34</v>
      </c>
      <c r="C24" s="70">
        <v>45141.36</v>
      </c>
      <c r="D24" s="70">
        <v>165880</v>
      </c>
      <c r="E24" s="70">
        <v>72.790000000000006</v>
      </c>
      <c r="F24" s="70">
        <v>27.21</v>
      </c>
      <c r="G24" s="70">
        <v>120738.64</v>
      </c>
      <c r="H24" s="70">
        <v>186381.36</v>
      </c>
      <c r="I24" s="119">
        <f>I136</f>
        <v>165880</v>
      </c>
      <c r="J24" s="93">
        <f>J136</f>
        <v>165880</v>
      </c>
      <c r="K24" s="119">
        <f>K136</f>
        <v>165880</v>
      </c>
    </row>
    <row r="25" spans="1:11" x14ac:dyDescent="0.25">
      <c r="A25" s="42" t="s">
        <v>35</v>
      </c>
      <c r="B25" s="42" t="s">
        <v>36</v>
      </c>
      <c r="C25" s="70">
        <v>-3975625.61</v>
      </c>
      <c r="D25" s="70">
        <v>-8767358.3300000001</v>
      </c>
      <c r="E25" s="70">
        <v>54.65</v>
      </c>
      <c r="F25" s="70">
        <v>45.35</v>
      </c>
      <c r="G25" s="70">
        <v>-4791732.72</v>
      </c>
      <c r="H25" s="70">
        <v>-9840222.4541999996</v>
      </c>
      <c r="I25" s="119">
        <f>I198</f>
        <v>-7035144.8911999995</v>
      </c>
      <c r="J25" s="93">
        <f>J198</f>
        <v>-7895976.7960749995</v>
      </c>
      <c r="K25" s="119">
        <f>K198</f>
        <v>-7052573.2872049995</v>
      </c>
    </row>
    <row r="26" spans="1:11" x14ac:dyDescent="0.25">
      <c r="A26" s="42" t="s">
        <v>37</v>
      </c>
      <c r="B26" s="42" t="s">
        <v>38</v>
      </c>
      <c r="C26" s="70">
        <v>-1665</v>
      </c>
      <c r="G26" s="70">
        <v>1665</v>
      </c>
      <c r="H26" s="70">
        <v>-1665</v>
      </c>
      <c r="I26" s="119">
        <f>I209</f>
        <v>0</v>
      </c>
      <c r="J26" s="93">
        <f>J209</f>
        <v>0</v>
      </c>
      <c r="K26" s="119">
        <f>K209</f>
        <v>0</v>
      </c>
    </row>
    <row r="27" spans="1:11" x14ac:dyDescent="0.25">
      <c r="A27" s="42" t="s">
        <v>39</v>
      </c>
      <c r="B27" s="42" t="s">
        <v>40</v>
      </c>
      <c r="C27" s="70">
        <v>-2563.59</v>
      </c>
      <c r="D27" s="70">
        <v>-161448</v>
      </c>
      <c r="E27" s="70">
        <v>98.41</v>
      </c>
      <c r="F27" s="70">
        <v>1.59</v>
      </c>
      <c r="G27" s="70">
        <v>-158884.41</v>
      </c>
      <c r="H27" s="70">
        <v>-2563.59</v>
      </c>
      <c r="I27" s="119">
        <f>I219</f>
        <v>0</v>
      </c>
      <c r="J27" s="93">
        <f>J219</f>
        <v>0</v>
      </c>
      <c r="K27" s="119">
        <f>K219</f>
        <v>0</v>
      </c>
    </row>
    <row r="28" spans="1:11" x14ac:dyDescent="0.25">
      <c r="A28" s="42" t="s">
        <v>41</v>
      </c>
      <c r="B28" s="42" t="s">
        <v>42</v>
      </c>
      <c r="H28" s="70">
        <v>0</v>
      </c>
      <c r="I28" s="119">
        <f>I223</f>
        <v>0</v>
      </c>
      <c r="J28" s="93">
        <f>J223</f>
        <v>0</v>
      </c>
      <c r="K28" s="119">
        <f>K223</f>
        <v>0</v>
      </c>
    </row>
    <row r="29" spans="1:11" x14ac:dyDescent="0.25">
      <c r="A29" s="42" t="s">
        <v>43</v>
      </c>
      <c r="B29" s="42" t="s">
        <v>44</v>
      </c>
      <c r="H29" s="70">
        <v>0</v>
      </c>
      <c r="I29" s="119">
        <f>I227</f>
        <v>0</v>
      </c>
      <c r="J29" s="93">
        <f>J227</f>
        <v>0</v>
      </c>
      <c r="K29" s="119">
        <f>K227</f>
        <v>0</v>
      </c>
    </row>
    <row r="30" spans="1:11" x14ac:dyDescent="0.25">
      <c r="A30" s="42" t="s">
        <v>12</v>
      </c>
      <c r="B30" s="42" t="s">
        <v>12</v>
      </c>
      <c r="I30" s="119"/>
      <c r="J30" s="93"/>
      <c r="K30" s="119"/>
    </row>
    <row r="31" spans="1:11" ht="15.75" thickBot="1" x14ac:dyDescent="0.3">
      <c r="A31" s="44" t="s">
        <v>45</v>
      </c>
      <c r="B31" s="44" t="s">
        <v>46</v>
      </c>
      <c r="C31" s="72">
        <v>-894949.66</v>
      </c>
      <c r="D31" s="72">
        <v>2127688.7000000002</v>
      </c>
      <c r="E31" s="72">
        <v>142.06</v>
      </c>
      <c r="F31" s="72">
        <v>-42.06</v>
      </c>
      <c r="G31" s="72">
        <v>3022638.36</v>
      </c>
      <c r="H31" s="72">
        <v>-2464390.8192478707</v>
      </c>
      <c r="I31" s="122">
        <f>I14+I18+I22+I24+I25+I26+I27</f>
        <v>6080798.6937521314</v>
      </c>
      <c r="J31" s="101">
        <f>J14+J18+J22+J24+J25+J26+J27</f>
        <v>2182541.1739249993</v>
      </c>
      <c r="K31" s="122">
        <f>K14+K18+K22+K24+K25+K26+K27</f>
        <v>4033920.6627950016</v>
      </c>
    </row>
    <row r="32" spans="1:11" ht="15.75" thickTop="1" x14ac:dyDescent="0.25">
      <c r="A32" s="42" t="s">
        <v>12</v>
      </c>
      <c r="B32" s="42" t="s">
        <v>12</v>
      </c>
      <c r="I32" s="119"/>
      <c r="J32" s="93"/>
      <c r="K32" s="119"/>
    </row>
    <row r="33" spans="1:14" x14ac:dyDescent="0.25">
      <c r="A33" s="42" t="s">
        <v>47</v>
      </c>
      <c r="B33" s="42" t="s">
        <v>48</v>
      </c>
      <c r="C33" s="70">
        <v>-622020.93999999994</v>
      </c>
      <c r="D33" s="70">
        <v>-1616471.17</v>
      </c>
      <c r="E33" s="70">
        <v>61.52</v>
      </c>
      <c r="F33" s="70">
        <v>38.479999999999997</v>
      </c>
      <c r="G33" s="70">
        <v>-994450.23</v>
      </c>
      <c r="H33" s="70">
        <v>-1219411.71</v>
      </c>
      <c r="I33" s="119">
        <f>I243</f>
        <v>-1219411.71</v>
      </c>
      <c r="J33" s="93">
        <f>J243</f>
        <v>-1438476.1099999999</v>
      </c>
      <c r="K33" s="119">
        <f>K243</f>
        <v>-1497540.5099999998</v>
      </c>
    </row>
    <row r="34" spans="1:14" x14ac:dyDescent="0.25">
      <c r="A34" s="42" t="s">
        <v>12</v>
      </c>
      <c r="B34" s="42" t="s">
        <v>12</v>
      </c>
      <c r="I34" s="119"/>
      <c r="J34" s="93"/>
      <c r="K34" s="119"/>
    </row>
    <row r="35" spans="1:14" ht="15.75" thickBot="1" x14ac:dyDescent="0.3">
      <c r="A35" s="44" t="s">
        <v>12</v>
      </c>
      <c r="B35" s="44" t="s">
        <v>49</v>
      </c>
      <c r="C35" s="72">
        <v>-1516970.6</v>
      </c>
      <c r="D35" s="72">
        <v>511217.53</v>
      </c>
      <c r="E35" s="72">
        <v>396.74</v>
      </c>
      <c r="F35" s="72">
        <v>-296.74</v>
      </c>
      <c r="G35" s="72">
        <v>2028188.13</v>
      </c>
      <c r="H35" s="72">
        <v>-3683802.5292478707</v>
      </c>
      <c r="I35" s="122">
        <f>I31+I33</f>
        <v>4861386.9837521315</v>
      </c>
      <c r="J35" s="101">
        <f>J31+J33</f>
        <v>744065.06392499944</v>
      </c>
      <c r="K35" s="122">
        <f>K31+K33</f>
        <v>2536380.1527950019</v>
      </c>
    </row>
    <row r="36" spans="1:14" ht="15.75" thickTop="1" x14ac:dyDescent="0.25">
      <c r="A36" s="42" t="s">
        <v>12</v>
      </c>
      <c r="B36" s="42" t="s">
        <v>12</v>
      </c>
    </row>
    <row r="37" spans="1:14" x14ac:dyDescent="0.25">
      <c r="A37" s="43" t="s">
        <v>12</v>
      </c>
      <c r="B37" s="43" t="s">
        <v>50</v>
      </c>
      <c r="C37" s="71"/>
      <c r="D37" s="71"/>
      <c r="E37" s="71"/>
      <c r="F37" s="71"/>
      <c r="G37" s="71"/>
      <c r="H37" s="71"/>
      <c r="I37" s="90"/>
      <c r="J37" s="127"/>
      <c r="K37" s="90"/>
    </row>
    <row r="38" spans="1:14" x14ac:dyDescent="0.25">
      <c r="A38" s="42" t="s">
        <v>12</v>
      </c>
      <c r="B38" s="42" t="s">
        <v>12</v>
      </c>
    </row>
    <row r="39" spans="1:14" x14ac:dyDescent="0.25">
      <c r="A39" s="43" t="s">
        <v>51</v>
      </c>
      <c r="B39" s="43" t="s">
        <v>52</v>
      </c>
      <c r="C39" s="71"/>
      <c r="D39" s="71"/>
      <c r="E39" s="71"/>
      <c r="F39" s="71"/>
      <c r="G39" s="71"/>
      <c r="H39" s="71"/>
      <c r="I39" s="90"/>
      <c r="J39" s="127"/>
      <c r="K39" s="90"/>
    </row>
    <row r="40" spans="1:14" x14ac:dyDescent="0.25">
      <c r="A40" s="42" t="s">
        <v>53</v>
      </c>
      <c r="B40" s="42" t="s">
        <v>54</v>
      </c>
      <c r="C40" s="70">
        <v>12412018.460000001</v>
      </c>
      <c r="D40" s="70">
        <v>27956326.399999999</v>
      </c>
      <c r="E40" s="70">
        <v>55.6</v>
      </c>
      <c r="F40" s="70">
        <v>44.4</v>
      </c>
      <c r="G40" s="70">
        <v>15544307.939999999</v>
      </c>
      <c r="H40" s="70">
        <v>23855836.665381402</v>
      </c>
      <c r="I40" s="103">
        <f>DATAARK!B29</f>
        <v>23855836.665381402</v>
      </c>
      <c r="J40" s="128">
        <f>DATAARK!C8</f>
        <v>20756712</v>
      </c>
      <c r="K40" s="128">
        <f>DATAARK!C9</f>
        <v>20756712</v>
      </c>
      <c r="M40" s="124"/>
      <c r="N40" s="40">
        <f t="shared" ref="N40:N45" si="0">IF(J40&gt;0,0,2)</f>
        <v>0</v>
      </c>
    </row>
    <row r="41" spans="1:14" x14ac:dyDescent="0.25">
      <c r="A41" s="42" t="s">
        <v>55</v>
      </c>
      <c r="B41" s="42" t="s">
        <v>56</v>
      </c>
      <c r="C41" s="70">
        <v>26055.91</v>
      </c>
      <c r="D41" s="70">
        <v>1479630</v>
      </c>
      <c r="E41" s="70">
        <v>98.24</v>
      </c>
      <c r="F41" s="70">
        <v>1.76</v>
      </c>
      <c r="G41" s="70">
        <v>1453574.09</v>
      </c>
      <c r="H41" s="70">
        <v>555050.80957072892</v>
      </c>
      <c r="I41" s="103">
        <f>DATAARK!B43</f>
        <v>555050.80957072892</v>
      </c>
      <c r="J41" s="128">
        <f>DATAARK!C14</f>
        <v>1145520</v>
      </c>
      <c r="K41" s="128">
        <f>DATAARK!C15</f>
        <v>1145520</v>
      </c>
      <c r="M41" s="124"/>
      <c r="N41" s="40">
        <f t="shared" si="0"/>
        <v>0</v>
      </c>
    </row>
    <row r="42" spans="1:14" x14ac:dyDescent="0.25">
      <c r="A42" s="42" t="s">
        <v>57</v>
      </c>
      <c r="B42" s="42" t="s">
        <v>58</v>
      </c>
      <c r="C42" s="70">
        <v>46146.879999999997</v>
      </c>
      <c r="G42" s="70">
        <v>-46146.879999999997</v>
      </c>
      <c r="N42" s="40">
        <f t="shared" si="0"/>
        <v>2</v>
      </c>
    </row>
    <row r="43" spans="1:14" x14ac:dyDescent="0.25">
      <c r="A43" s="42" t="s">
        <v>59</v>
      </c>
      <c r="B43" s="42" t="s">
        <v>60</v>
      </c>
      <c r="C43" s="70">
        <v>4126.26</v>
      </c>
      <c r="D43" s="70">
        <v>41540.910000000003</v>
      </c>
      <c r="E43" s="70">
        <v>90.07</v>
      </c>
      <c r="F43" s="70">
        <v>9.93</v>
      </c>
      <c r="G43" s="70">
        <v>37414.65</v>
      </c>
      <c r="N43" s="40">
        <f t="shared" si="0"/>
        <v>2</v>
      </c>
    </row>
    <row r="44" spans="1:14" x14ac:dyDescent="0.25">
      <c r="A44" s="42" t="s">
        <v>61</v>
      </c>
      <c r="B44" s="42" t="s">
        <v>62</v>
      </c>
      <c r="C44" s="70">
        <v>880710</v>
      </c>
      <c r="D44" s="70">
        <v>1761420</v>
      </c>
      <c r="E44" s="70">
        <v>50</v>
      </c>
      <c r="F44" s="70">
        <v>50</v>
      </c>
      <c r="G44" s="70">
        <v>880710</v>
      </c>
      <c r="H44" s="70">
        <v>1761420</v>
      </c>
      <c r="I44" s="103">
        <v>1761420</v>
      </c>
      <c r="J44" s="129">
        <f>DATAARK!C10</f>
        <v>1761420</v>
      </c>
      <c r="K44" s="109">
        <f>DATAARK!C11</f>
        <v>1761420</v>
      </c>
      <c r="N44" s="40">
        <f t="shared" si="0"/>
        <v>0</v>
      </c>
    </row>
    <row r="45" spans="1:14" x14ac:dyDescent="0.25">
      <c r="A45" s="42" t="s">
        <v>63</v>
      </c>
      <c r="B45" s="42" t="s">
        <v>64</v>
      </c>
      <c r="C45" s="70">
        <v>528770.14</v>
      </c>
      <c r="D45" s="70">
        <v>544920</v>
      </c>
      <c r="E45" s="70">
        <v>2.96</v>
      </c>
      <c r="F45" s="70">
        <v>97.04</v>
      </c>
      <c r="G45" s="70">
        <v>16149.86</v>
      </c>
      <c r="H45" s="70">
        <v>528770.14</v>
      </c>
      <c r="I45" s="103">
        <f>C45</f>
        <v>528770.14</v>
      </c>
      <c r="J45" s="129">
        <f>DATAARK!C12</f>
        <v>0</v>
      </c>
      <c r="K45" s="109">
        <f>DATAARK!C13</f>
        <v>0</v>
      </c>
      <c r="N45" s="40">
        <f t="shared" si="0"/>
        <v>2</v>
      </c>
    </row>
    <row r="46" spans="1:14" x14ac:dyDescent="0.25">
      <c r="A46" s="43" t="s">
        <v>65</v>
      </c>
      <c r="B46" s="43" t="s">
        <v>66</v>
      </c>
      <c r="C46" s="71">
        <v>13897827.65</v>
      </c>
      <c r="D46" s="71">
        <v>31783837.309999999</v>
      </c>
      <c r="E46" s="71">
        <v>56.27</v>
      </c>
      <c r="F46" s="71">
        <v>43.73</v>
      </c>
      <c r="G46" s="71">
        <v>17886009.66</v>
      </c>
      <c r="H46" s="71">
        <v>26701077.614952132</v>
      </c>
      <c r="I46" s="90">
        <f>SUM(I40:I45)</f>
        <v>26701077.614952132</v>
      </c>
      <c r="J46" s="127">
        <f>SUM(J40:J45)</f>
        <v>23663652</v>
      </c>
      <c r="K46" s="90">
        <f>SUM(K40:K45)</f>
        <v>23663652</v>
      </c>
    </row>
    <row r="47" spans="1:14" x14ac:dyDescent="0.25">
      <c r="A47" s="42" t="s">
        <v>12</v>
      </c>
      <c r="B47" s="42" t="s">
        <v>12</v>
      </c>
    </row>
    <row r="48" spans="1:14" x14ac:dyDescent="0.25">
      <c r="A48" s="43" t="s">
        <v>67</v>
      </c>
      <c r="B48" s="43" t="s">
        <v>68</v>
      </c>
      <c r="C48" s="71"/>
      <c r="D48" s="71"/>
      <c r="E48" s="71"/>
      <c r="F48" s="71"/>
      <c r="G48" s="71"/>
      <c r="H48" s="71"/>
      <c r="I48" s="90"/>
      <c r="J48" s="127"/>
      <c r="K48" s="90"/>
    </row>
    <row r="49" spans="1:14" x14ac:dyDescent="0.25">
      <c r="A49" s="42" t="s">
        <v>69</v>
      </c>
      <c r="B49" s="42" t="s">
        <v>70</v>
      </c>
      <c r="J49" s="89">
        <f>I49*DATAARK!$B$3</f>
        <v>0</v>
      </c>
      <c r="K49" s="89">
        <f>J49*DATAARK!$C$3</f>
        <v>0</v>
      </c>
      <c r="N49" s="40">
        <f t="shared" ref="N49:N58" si="1">IF(J49&gt;0,0,2)</f>
        <v>2</v>
      </c>
    </row>
    <row r="50" spans="1:14" x14ac:dyDescent="0.25">
      <c r="A50" s="42" t="s">
        <v>71</v>
      </c>
      <c r="B50" s="42" t="s">
        <v>72</v>
      </c>
      <c r="C50" s="70">
        <v>69653.119999999995</v>
      </c>
      <c r="G50" s="70">
        <v>-69653.119999999995</v>
      </c>
      <c r="H50" s="70">
        <v>116939.12</v>
      </c>
      <c r="J50" s="89">
        <f>I50*DATAARK!$B$3</f>
        <v>0</v>
      </c>
      <c r="K50" s="89">
        <f>J50*DATAARK!$C$3</f>
        <v>0</v>
      </c>
      <c r="N50" s="40">
        <f t="shared" si="1"/>
        <v>2</v>
      </c>
    </row>
    <row r="51" spans="1:14" x14ac:dyDescent="0.25">
      <c r="A51" s="42" t="s">
        <v>73</v>
      </c>
      <c r="B51" s="42" t="s">
        <v>74</v>
      </c>
      <c r="D51" s="70">
        <v>301747</v>
      </c>
      <c r="E51" s="70">
        <v>100</v>
      </c>
      <c r="G51" s="70">
        <v>301747</v>
      </c>
      <c r="H51" s="70">
        <v>0</v>
      </c>
      <c r="I51" s="103">
        <v>0</v>
      </c>
      <c r="J51" s="89">
        <f>I51*DATAARK!$B$3</f>
        <v>0</v>
      </c>
      <c r="K51" s="89">
        <f>J51*DATAARK!$C$3</f>
        <v>0</v>
      </c>
      <c r="N51" s="40">
        <f t="shared" si="1"/>
        <v>2</v>
      </c>
    </row>
    <row r="52" spans="1:14" x14ac:dyDescent="0.25">
      <c r="A52" s="42" t="s">
        <v>75</v>
      </c>
      <c r="B52" s="42" t="s">
        <v>76</v>
      </c>
      <c r="C52" s="70">
        <v>27187.5</v>
      </c>
      <c r="G52" s="70">
        <v>-27187.5</v>
      </c>
      <c r="H52" s="70">
        <v>27187.5</v>
      </c>
      <c r="I52" s="103">
        <f>C52</f>
        <v>27187.5</v>
      </c>
      <c r="J52" s="89">
        <f>I52*DATAARK!$B$3</f>
        <v>27187.5</v>
      </c>
      <c r="K52" s="89">
        <f>J52*DATAARK!$C$3</f>
        <v>27187.5</v>
      </c>
      <c r="N52" s="40">
        <f t="shared" si="1"/>
        <v>0</v>
      </c>
    </row>
    <row r="53" spans="1:14" x14ac:dyDescent="0.25">
      <c r="A53" s="42" t="s">
        <v>77</v>
      </c>
      <c r="B53" s="42" t="s">
        <v>78</v>
      </c>
      <c r="D53" s="70">
        <v>16000</v>
      </c>
      <c r="E53" s="70">
        <v>100</v>
      </c>
      <c r="G53" s="70">
        <v>16000</v>
      </c>
      <c r="H53" s="70">
        <v>16000</v>
      </c>
      <c r="I53" s="103">
        <v>16000</v>
      </c>
      <c r="J53" s="89">
        <f>I53*DATAARK!$B$3</f>
        <v>16000</v>
      </c>
      <c r="K53" s="89">
        <f>J53*DATAARK!$C$3</f>
        <v>16000</v>
      </c>
      <c r="N53" s="40">
        <f t="shared" si="1"/>
        <v>0</v>
      </c>
    </row>
    <row r="54" spans="1:14" x14ac:dyDescent="0.25">
      <c r="A54" s="42" t="s">
        <v>79</v>
      </c>
      <c r="B54" s="42" t="s">
        <v>80</v>
      </c>
      <c r="J54" s="89">
        <f>I54*DATAARK!$B$3</f>
        <v>0</v>
      </c>
      <c r="K54" s="89">
        <f>J54*DATAARK!$C$3</f>
        <v>0</v>
      </c>
      <c r="N54" s="40">
        <f t="shared" si="1"/>
        <v>2</v>
      </c>
    </row>
    <row r="55" spans="1:14" x14ac:dyDescent="0.25">
      <c r="A55" s="42" t="s">
        <v>81</v>
      </c>
      <c r="B55" s="42" t="s">
        <v>82</v>
      </c>
      <c r="C55" s="70">
        <v>188173</v>
      </c>
      <c r="D55" s="70">
        <v>6074.67</v>
      </c>
      <c r="E55" s="70">
        <v>-2997.67</v>
      </c>
      <c r="F55" s="70">
        <v>3097.67</v>
      </c>
      <c r="G55" s="70">
        <v>-182098.33</v>
      </c>
      <c r="H55" s="70">
        <v>12432</v>
      </c>
      <c r="I55" s="103">
        <v>12432</v>
      </c>
      <c r="J55" s="89">
        <f>I55*DATAARK!$B$3</f>
        <v>12432</v>
      </c>
      <c r="K55" s="89">
        <f>J55*DATAARK!$C$3</f>
        <v>12432</v>
      </c>
      <c r="N55" s="40">
        <f t="shared" si="1"/>
        <v>0</v>
      </c>
    </row>
    <row r="56" spans="1:14" x14ac:dyDescent="0.25">
      <c r="A56" s="42" t="s">
        <v>83</v>
      </c>
      <c r="B56" s="42" t="s">
        <v>84</v>
      </c>
      <c r="C56" s="70">
        <v>18375.55</v>
      </c>
      <c r="D56" s="70">
        <v>500000</v>
      </c>
      <c r="E56" s="70">
        <v>96.32</v>
      </c>
      <c r="F56" s="70">
        <v>3.68</v>
      </c>
      <c r="G56" s="70">
        <v>481624.45</v>
      </c>
      <c r="H56" s="70">
        <v>500000</v>
      </c>
      <c r="I56" s="111">
        <v>500000</v>
      </c>
      <c r="J56" s="89">
        <f>I56*DATAARK!$B$3</f>
        <v>500000</v>
      </c>
      <c r="K56" s="89">
        <f>J56*DATAARK!$C$3</f>
        <v>500000</v>
      </c>
      <c r="N56" s="40">
        <f t="shared" si="1"/>
        <v>0</v>
      </c>
    </row>
    <row r="57" spans="1:14" x14ac:dyDescent="0.25">
      <c r="A57" s="42" t="s">
        <v>85</v>
      </c>
      <c r="B57" s="42" t="s">
        <v>86</v>
      </c>
      <c r="J57" s="89">
        <f>I57*DATAARK!$B$3</f>
        <v>0</v>
      </c>
      <c r="K57" s="89">
        <f>J57*DATAARK!$C$3</f>
        <v>0</v>
      </c>
      <c r="N57" s="40">
        <f t="shared" si="1"/>
        <v>2</v>
      </c>
    </row>
    <row r="58" spans="1:14" x14ac:dyDescent="0.25">
      <c r="A58" s="42" t="s">
        <v>87</v>
      </c>
      <c r="B58" s="42" t="s">
        <v>88</v>
      </c>
      <c r="C58" s="70">
        <v>4454.1000000000004</v>
      </c>
      <c r="G58" s="70">
        <v>-4454.1000000000004</v>
      </c>
      <c r="H58" s="70">
        <v>4454.1000000000004</v>
      </c>
      <c r="I58" s="103">
        <v>4454.1000000000004</v>
      </c>
      <c r="J58" s="89">
        <f>I58*DATAARK!$B$3</f>
        <v>4454.1000000000004</v>
      </c>
      <c r="K58" s="89">
        <f>J58*DATAARK!$C$3</f>
        <v>4454.1000000000004</v>
      </c>
      <c r="N58" s="40">
        <f t="shared" si="1"/>
        <v>0</v>
      </c>
    </row>
    <row r="59" spans="1:14" x14ac:dyDescent="0.25">
      <c r="A59" s="43" t="s">
        <v>89</v>
      </c>
      <c r="B59" s="43" t="s">
        <v>17</v>
      </c>
      <c r="C59" s="71">
        <v>307843.27</v>
      </c>
      <c r="D59" s="71">
        <v>823821.67</v>
      </c>
      <c r="E59" s="71">
        <v>62.63</v>
      </c>
      <c r="F59" s="71">
        <v>37.369999999999997</v>
      </c>
      <c r="G59" s="71">
        <v>515978.4</v>
      </c>
      <c r="H59" s="71">
        <v>677012.72</v>
      </c>
      <c r="I59" s="90">
        <f>SUM(I49:I58)</f>
        <v>560073.6</v>
      </c>
      <c r="J59" s="90">
        <f>SUM(J49:J58)</f>
        <v>560073.6</v>
      </c>
      <c r="K59" s="90">
        <f>SUM(K49:K58)</f>
        <v>560073.6</v>
      </c>
    </row>
    <row r="60" spans="1:14" x14ac:dyDescent="0.25">
      <c r="A60" s="42" t="s">
        <v>12</v>
      </c>
      <c r="B60" s="42" t="s">
        <v>12</v>
      </c>
      <c r="J60" s="89">
        <v>0</v>
      </c>
    </row>
    <row r="61" spans="1:14" x14ac:dyDescent="0.25">
      <c r="A61" s="43" t="s">
        <v>90</v>
      </c>
      <c r="B61" s="43" t="s">
        <v>91</v>
      </c>
      <c r="C61" s="71"/>
      <c r="D61" s="71"/>
      <c r="E61" s="71"/>
      <c r="F61" s="71"/>
      <c r="G61" s="71"/>
      <c r="H61" s="71"/>
      <c r="I61" s="90"/>
      <c r="J61" s="89">
        <v>0</v>
      </c>
      <c r="K61" s="90"/>
    </row>
    <row r="62" spans="1:14" x14ac:dyDescent="0.25">
      <c r="A62" s="42" t="s">
        <v>92</v>
      </c>
      <c r="B62" s="42" t="s">
        <v>93</v>
      </c>
      <c r="C62" s="70">
        <v>234696</v>
      </c>
      <c r="G62" s="70">
        <v>-234696</v>
      </c>
      <c r="H62" s="70">
        <v>469392</v>
      </c>
      <c r="I62" s="103">
        <f>C62*2</f>
        <v>469392</v>
      </c>
      <c r="J62" s="89">
        <f>I62*DATAARK!$B$3</f>
        <v>469392</v>
      </c>
      <c r="K62" s="89">
        <f>J62*DATAARK!$C$3</f>
        <v>469392</v>
      </c>
      <c r="N62" s="40">
        <f>IF(J62&gt;0,0,2)</f>
        <v>0</v>
      </c>
    </row>
    <row r="63" spans="1:14" x14ac:dyDescent="0.25">
      <c r="A63" s="43" t="s">
        <v>94</v>
      </c>
      <c r="B63" s="43" t="s">
        <v>95</v>
      </c>
      <c r="C63" s="71">
        <v>234696</v>
      </c>
      <c r="D63" s="71"/>
      <c r="E63" s="71"/>
      <c r="F63" s="71"/>
      <c r="G63" s="71">
        <v>-234696</v>
      </c>
      <c r="H63" s="71">
        <v>469392</v>
      </c>
      <c r="I63" s="90">
        <f>I62</f>
        <v>469392</v>
      </c>
      <c r="J63" s="90">
        <f>J62</f>
        <v>469392</v>
      </c>
      <c r="K63" s="90">
        <f>K62</f>
        <v>469392</v>
      </c>
    </row>
    <row r="64" spans="1:14" x14ac:dyDescent="0.25">
      <c r="A64" s="42" t="s">
        <v>12</v>
      </c>
      <c r="B64" s="42" t="s">
        <v>12</v>
      </c>
    </row>
    <row r="65" spans="1:14" x14ac:dyDescent="0.25">
      <c r="A65" s="43" t="s">
        <v>96</v>
      </c>
      <c r="B65" s="43" t="s">
        <v>97</v>
      </c>
      <c r="C65" s="71">
        <v>14440366.92</v>
      </c>
      <c r="D65" s="71">
        <v>32607658.98</v>
      </c>
      <c r="E65" s="71">
        <v>55.71</v>
      </c>
      <c r="F65" s="71">
        <v>44.29</v>
      </c>
      <c r="G65" s="71">
        <v>18167292.059999999</v>
      </c>
      <c r="H65" s="71">
        <v>27847482.334952131</v>
      </c>
      <c r="I65" s="90">
        <f>I63+I59+I46</f>
        <v>27730543.214952134</v>
      </c>
      <c r="J65" s="90">
        <f>J46+J59+J63</f>
        <v>24693117.600000001</v>
      </c>
      <c r="K65" s="90">
        <f>K46+K59+K63</f>
        <v>24693117.600000001</v>
      </c>
    </row>
    <row r="66" spans="1:14" x14ac:dyDescent="0.25">
      <c r="A66" s="42" t="s">
        <v>12</v>
      </c>
      <c r="B66" s="42" t="s">
        <v>12</v>
      </c>
    </row>
    <row r="67" spans="1:14" x14ac:dyDescent="0.25">
      <c r="A67" s="43" t="s">
        <v>98</v>
      </c>
      <c r="B67" s="43" t="s">
        <v>99</v>
      </c>
      <c r="C67" s="71"/>
      <c r="D67" s="71"/>
      <c r="E67" s="71"/>
      <c r="F67" s="71"/>
      <c r="G67" s="71"/>
      <c r="H67" s="71"/>
      <c r="I67" s="90"/>
      <c r="J67" s="127"/>
      <c r="K67" s="90"/>
    </row>
    <row r="68" spans="1:14" x14ac:dyDescent="0.25">
      <c r="A68" s="42" t="s">
        <v>100</v>
      </c>
      <c r="B68" s="42" t="s">
        <v>101</v>
      </c>
      <c r="J68" s="89">
        <f>I68*DATAARK!$B$3</f>
        <v>0</v>
      </c>
      <c r="K68" s="89">
        <f>J68*DATAARK!$C$3</f>
        <v>0</v>
      </c>
      <c r="N68" s="40">
        <f>IF(J68&gt;0,1,0)</f>
        <v>0</v>
      </c>
    </row>
    <row r="69" spans="1:14" x14ac:dyDescent="0.25">
      <c r="A69" s="42" t="s">
        <v>102</v>
      </c>
      <c r="B69" s="42" t="s">
        <v>103</v>
      </c>
      <c r="J69" s="89">
        <f>I69*DATAARK!$B$3</f>
        <v>0</v>
      </c>
      <c r="K69" s="89">
        <f>J69*DATAARK!$C$3</f>
        <v>0</v>
      </c>
      <c r="N69" s="40">
        <f>IF(J69&gt;0,1,0)</f>
        <v>0</v>
      </c>
    </row>
    <row r="70" spans="1:14" x14ac:dyDescent="0.25">
      <c r="A70" s="43" t="s">
        <v>104</v>
      </c>
      <c r="B70" s="43" t="s">
        <v>105</v>
      </c>
      <c r="C70" s="71"/>
      <c r="D70" s="71"/>
      <c r="E70" s="71"/>
      <c r="F70" s="71"/>
      <c r="G70" s="71"/>
      <c r="H70" s="71"/>
      <c r="I70" s="90"/>
      <c r="J70" s="127"/>
      <c r="K70" s="90"/>
    </row>
    <row r="71" spans="1:14" x14ac:dyDescent="0.25">
      <c r="A71" s="42" t="s">
        <v>12</v>
      </c>
      <c r="B71" s="42" t="s">
        <v>12</v>
      </c>
    </row>
    <row r="72" spans="1:14" x14ac:dyDescent="0.25">
      <c r="A72" s="43" t="s">
        <v>106</v>
      </c>
      <c r="B72" s="43" t="s">
        <v>107</v>
      </c>
      <c r="C72" s="71"/>
      <c r="D72" s="71"/>
      <c r="E72" s="71"/>
      <c r="F72" s="71"/>
      <c r="G72" s="71"/>
      <c r="H72" s="71"/>
      <c r="I72" s="90"/>
      <c r="J72" s="127"/>
      <c r="K72" s="90"/>
    </row>
    <row r="73" spans="1:14" x14ac:dyDescent="0.25">
      <c r="A73" s="42" t="s">
        <v>108</v>
      </c>
      <c r="B73" s="42" t="s">
        <v>109</v>
      </c>
      <c r="J73" s="89">
        <f>I73*DATAARK!$B$3</f>
        <v>0</v>
      </c>
      <c r="K73" s="89">
        <f>J73*DATAARK!$C$3</f>
        <v>0</v>
      </c>
      <c r="N73" s="40">
        <f>IF(J73&gt;0,1,0)</f>
        <v>0</v>
      </c>
    </row>
    <row r="74" spans="1:14" x14ac:dyDescent="0.25">
      <c r="A74" s="42" t="s">
        <v>110</v>
      </c>
      <c r="B74" s="42" t="s">
        <v>111</v>
      </c>
      <c r="C74" s="70">
        <v>-10796.67</v>
      </c>
      <c r="G74" s="70">
        <v>10796.67</v>
      </c>
      <c r="H74" s="70">
        <v>-10796.67</v>
      </c>
      <c r="I74" s="103">
        <v>-10796.67</v>
      </c>
      <c r="J74" s="89">
        <f>I74*DATAARK!$B$3</f>
        <v>-10796.67</v>
      </c>
      <c r="K74" s="89">
        <f>J74*DATAARK!$C$3</f>
        <v>-10796.67</v>
      </c>
      <c r="N74" s="40">
        <f>IF(J74&gt;0,1,0)</f>
        <v>0</v>
      </c>
    </row>
    <row r="75" spans="1:14" x14ac:dyDescent="0.25">
      <c r="A75" s="42" t="s">
        <v>112</v>
      </c>
      <c r="B75" s="42" t="s">
        <v>113</v>
      </c>
      <c r="J75" s="89">
        <f>I75*DATAARK!$B$3</f>
        <v>0</v>
      </c>
      <c r="K75" s="89">
        <f>J75*DATAARK!$C$3</f>
        <v>0</v>
      </c>
      <c r="N75" s="40">
        <f>IF(J75&gt;0,1,0)</f>
        <v>0</v>
      </c>
    </row>
    <row r="76" spans="1:14" x14ac:dyDescent="0.25">
      <c r="A76" s="42" t="s">
        <v>114</v>
      </c>
      <c r="B76" s="42" t="s">
        <v>115</v>
      </c>
      <c r="C76" s="70">
        <v>-2748.2</v>
      </c>
      <c r="G76" s="70">
        <v>2748.2</v>
      </c>
      <c r="H76" s="70">
        <v>-2748.2</v>
      </c>
      <c r="I76" s="103">
        <v>-2748.2</v>
      </c>
      <c r="J76" s="89">
        <f>I76*DATAARK!$B$3</f>
        <v>-2748.2</v>
      </c>
      <c r="K76" s="89">
        <f>J76*DATAARK!$C$3</f>
        <v>-2748.2</v>
      </c>
      <c r="N76" s="40">
        <f>IF(J76&gt;0,1,0)</f>
        <v>0</v>
      </c>
    </row>
    <row r="77" spans="1:14" x14ac:dyDescent="0.25">
      <c r="A77" s="43" t="s">
        <v>116</v>
      </c>
      <c r="B77" s="43" t="s">
        <v>117</v>
      </c>
      <c r="C77" s="71">
        <v>-13544.87</v>
      </c>
      <c r="D77" s="71"/>
      <c r="E77" s="71"/>
      <c r="F77" s="71"/>
      <c r="G77" s="71">
        <v>13544.87</v>
      </c>
      <c r="H77" s="71">
        <v>-13544.869999999999</v>
      </c>
      <c r="I77" s="90">
        <f>SUM(I73:I76)</f>
        <v>-13544.869999999999</v>
      </c>
      <c r="J77" s="127">
        <f>SUM(J73:J76)</f>
        <v>-13544.869999999999</v>
      </c>
      <c r="K77" s="90">
        <f>SUM(K73:K76)</f>
        <v>-13544.869999999999</v>
      </c>
    </row>
    <row r="78" spans="1:14" x14ac:dyDescent="0.25">
      <c r="A78" s="42" t="s">
        <v>12</v>
      </c>
      <c r="B78" s="42" t="s">
        <v>12</v>
      </c>
    </row>
    <row r="79" spans="1:14" x14ac:dyDescent="0.25">
      <c r="A79" s="43" t="s">
        <v>118</v>
      </c>
      <c r="B79" s="43" t="s">
        <v>119</v>
      </c>
      <c r="C79" s="71"/>
      <c r="D79" s="71"/>
      <c r="E79" s="71"/>
      <c r="F79" s="71"/>
      <c r="G79" s="71"/>
      <c r="H79" s="71"/>
      <c r="I79" s="90"/>
      <c r="J79" s="127"/>
      <c r="K79" s="90"/>
    </row>
    <row r="80" spans="1:14" x14ac:dyDescent="0.25">
      <c r="A80" s="42" t="s">
        <v>120</v>
      </c>
      <c r="B80" s="42" t="s">
        <v>121</v>
      </c>
      <c r="N80" s="40">
        <f>IF(J80&gt;0,1,0)</f>
        <v>0</v>
      </c>
    </row>
    <row r="81" spans="1:14" x14ac:dyDescent="0.25">
      <c r="A81" s="42" t="s">
        <v>122</v>
      </c>
      <c r="B81" s="42" t="s">
        <v>123</v>
      </c>
      <c r="N81" s="40">
        <f>IF(J81&gt;0,1,0)</f>
        <v>0</v>
      </c>
    </row>
    <row r="82" spans="1:14" x14ac:dyDescent="0.25">
      <c r="A82" s="43" t="s">
        <v>124</v>
      </c>
      <c r="B82" s="43" t="s">
        <v>125</v>
      </c>
      <c r="C82" s="71"/>
      <c r="D82" s="71"/>
      <c r="E82" s="71"/>
      <c r="F82" s="71"/>
      <c r="G82" s="71"/>
      <c r="H82" s="71">
        <v>0</v>
      </c>
      <c r="I82" s="90">
        <f>I80+I81</f>
        <v>0</v>
      </c>
      <c r="J82" s="127"/>
      <c r="K82" s="90"/>
    </row>
    <row r="83" spans="1:14" x14ac:dyDescent="0.25">
      <c r="A83" s="42" t="s">
        <v>12</v>
      </c>
      <c r="B83" s="42" t="s">
        <v>12</v>
      </c>
    </row>
    <row r="84" spans="1:14" x14ac:dyDescent="0.25">
      <c r="A84" s="43" t="s">
        <v>126</v>
      </c>
      <c r="B84" s="43" t="s">
        <v>30</v>
      </c>
      <c r="C84" s="71"/>
      <c r="D84" s="71"/>
      <c r="E84" s="71"/>
      <c r="F84" s="71"/>
      <c r="G84" s="71"/>
      <c r="H84" s="71"/>
      <c r="I84" s="90"/>
      <c r="J84" s="127"/>
      <c r="K84" s="90"/>
    </row>
    <row r="85" spans="1:14" x14ac:dyDescent="0.25">
      <c r="A85" s="42" t="s">
        <v>127</v>
      </c>
      <c r="B85" s="42" t="s">
        <v>128</v>
      </c>
      <c r="J85" s="89">
        <f>I85*DATAARK!$B$4</f>
        <v>0</v>
      </c>
      <c r="K85" s="89">
        <f>J85*DATAARK!$C$4</f>
        <v>0</v>
      </c>
      <c r="N85" s="40">
        <f t="shared" ref="N85:N106" si="2">IF(J85&gt;0,1,0)</f>
        <v>0</v>
      </c>
    </row>
    <row r="86" spans="1:14" x14ac:dyDescent="0.25">
      <c r="A86" s="42" t="s">
        <v>129</v>
      </c>
      <c r="B86" s="42" t="s">
        <v>130</v>
      </c>
      <c r="D86" s="70">
        <v>-199368</v>
      </c>
      <c r="E86" s="70">
        <v>100</v>
      </c>
      <c r="G86" s="70">
        <v>-199368</v>
      </c>
      <c r="H86" s="70">
        <v>0</v>
      </c>
      <c r="J86" s="89">
        <f>I86*DATAARK!$B$4</f>
        <v>0</v>
      </c>
      <c r="K86" s="89">
        <f>J86*DATAARK!$C$4</f>
        <v>0</v>
      </c>
      <c r="N86" s="40">
        <f t="shared" si="2"/>
        <v>0</v>
      </c>
    </row>
    <row r="87" spans="1:14" x14ac:dyDescent="0.25">
      <c r="A87" s="42" t="s">
        <v>131</v>
      </c>
      <c r="B87" s="42" t="s">
        <v>132</v>
      </c>
      <c r="J87" s="89">
        <f>I87*DATAARK!$B$4</f>
        <v>0</v>
      </c>
      <c r="K87" s="89">
        <f>J87*DATAARK!$C$4</f>
        <v>0</v>
      </c>
      <c r="N87" s="40">
        <f t="shared" si="2"/>
        <v>0</v>
      </c>
    </row>
    <row r="88" spans="1:14" x14ac:dyDescent="0.25">
      <c r="A88" s="42" t="s">
        <v>133</v>
      </c>
      <c r="B88" s="42" t="s">
        <v>134</v>
      </c>
      <c r="C88" s="70">
        <v>-14970.03</v>
      </c>
      <c r="G88" s="70">
        <v>14970.03</v>
      </c>
      <c r="H88" s="70">
        <v>-14970.03</v>
      </c>
      <c r="J88" s="89">
        <f>I88*DATAARK!$B$4</f>
        <v>0</v>
      </c>
      <c r="K88" s="89">
        <f>J88*DATAARK!$C$4</f>
        <v>0</v>
      </c>
      <c r="N88" s="40">
        <f t="shared" si="2"/>
        <v>0</v>
      </c>
    </row>
    <row r="89" spans="1:14" x14ac:dyDescent="0.25">
      <c r="A89" s="42" t="s">
        <v>135</v>
      </c>
      <c r="B89" s="42" t="s">
        <v>136</v>
      </c>
      <c r="C89" s="70">
        <v>14970.03</v>
      </c>
      <c r="G89" s="70">
        <v>-14970.03</v>
      </c>
      <c r="H89" s="70">
        <v>14970.03</v>
      </c>
      <c r="J89" s="89">
        <f>I89*DATAARK!$B$4</f>
        <v>0</v>
      </c>
      <c r="K89" s="89">
        <f>J89*DATAARK!$C$4</f>
        <v>0</v>
      </c>
      <c r="N89" s="40">
        <f t="shared" si="2"/>
        <v>0</v>
      </c>
    </row>
    <row r="90" spans="1:14" x14ac:dyDescent="0.25">
      <c r="A90" s="42" t="s">
        <v>137</v>
      </c>
      <c r="B90" s="42" t="s">
        <v>138</v>
      </c>
      <c r="C90" s="70">
        <v>-11029895.99</v>
      </c>
      <c r="D90" s="70">
        <v>-20602057.399999999</v>
      </c>
      <c r="E90" s="70">
        <v>46.46</v>
      </c>
      <c r="F90" s="70">
        <v>53.54</v>
      </c>
      <c r="G90" s="70">
        <v>-9572161.4100000001</v>
      </c>
      <c r="H90" s="70">
        <v>-19345797.02</v>
      </c>
      <c r="I90" s="103">
        <v>-14995264.210000001</v>
      </c>
      <c r="J90" s="89">
        <f>I90*DATAARK!$B$4</f>
        <v>-14995264.210000001</v>
      </c>
      <c r="K90" s="89">
        <v>-14161667.699999999</v>
      </c>
      <c r="N90" s="40">
        <f t="shared" si="2"/>
        <v>0</v>
      </c>
    </row>
    <row r="91" spans="1:14" x14ac:dyDescent="0.25">
      <c r="A91" s="42" t="s">
        <v>139</v>
      </c>
      <c r="B91" s="42" t="s">
        <v>140</v>
      </c>
      <c r="J91" s="89">
        <f>I91*DATAARK!$B$4</f>
        <v>0</v>
      </c>
      <c r="K91" s="89">
        <f>J91*DATAARK!$C$4</f>
        <v>0</v>
      </c>
      <c r="N91" s="40">
        <f t="shared" si="2"/>
        <v>0</v>
      </c>
    </row>
    <row r="92" spans="1:14" x14ac:dyDescent="0.25">
      <c r="A92" s="42" t="s">
        <v>141</v>
      </c>
      <c r="B92" s="42" t="s">
        <v>142</v>
      </c>
      <c r="J92" s="89">
        <f>I92*DATAARK!$B$4</f>
        <v>0</v>
      </c>
      <c r="K92" s="89">
        <f>J92*DATAARK!$C$4</f>
        <v>0</v>
      </c>
      <c r="N92" s="40">
        <f t="shared" si="2"/>
        <v>0</v>
      </c>
    </row>
    <row r="93" spans="1:14" x14ac:dyDescent="0.25">
      <c r="A93" s="42" t="s">
        <v>143</v>
      </c>
      <c r="B93" s="42" t="s">
        <v>144</v>
      </c>
      <c r="J93" s="89">
        <f>I93*DATAARK!$B$4</f>
        <v>0</v>
      </c>
      <c r="K93" s="89">
        <f>J93*DATAARK!$C$4</f>
        <v>0</v>
      </c>
      <c r="N93" s="40">
        <f t="shared" si="2"/>
        <v>0</v>
      </c>
    </row>
    <row r="94" spans="1:14" x14ac:dyDescent="0.25">
      <c r="A94" s="42" t="s">
        <v>145</v>
      </c>
      <c r="B94" s="42" t="s">
        <v>146</v>
      </c>
      <c r="J94" s="89">
        <f>I94*DATAARK!$B$4</f>
        <v>0</v>
      </c>
      <c r="K94" s="89">
        <f>J94*DATAARK!$C$4</f>
        <v>0</v>
      </c>
      <c r="N94" s="40">
        <f t="shared" si="2"/>
        <v>0</v>
      </c>
    </row>
    <row r="95" spans="1:14" x14ac:dyDescent="0.25">
      <c r="A95" s="42" t="s">
        <v>147</v>
      </c>
      <c r="B95" s="42" t="s">
        <v>148</v>
      </c>
      <c r="C95" s="70">
        <v>-116939.12</v>
      </c>
      <c r="G95" s="70">
        <v>116939.12</v>
      </c>
      <c r="H95" s="70">
        <v>-116939.12</v>
      </c>
      <c r="J95" s="89">
        <f>I95*DATAARK!$B$4</f>
        <v>0</v>
      </c>
      <c r="K95" s="89">
        <f>J95*DATAARK!$C$4</f>
        <v>0</v>
      </c>
      <c r="N95" s="40">
        <f t="shared" si="2"/>
        <v>0</v>
      </c>
    </row>
    <row r="96" spans="1:14" x14ac:dyDescent="0.25">
      <c r="A96" s="42" t="s">
        <v>149</v>
      </c>
      <c r="B96" s="42" t="s">
        <v>150</v>
      </c>
      <c r="J96" s="89">
        <f>I96*DATAARK!$B$4</f>
        <v>0</v>
      </c>
      <c r="K96" s="89">
        <f>J96*DATAARK!$C$4</f>
        <v>0</v>
      </c>
      <c r="N96" s="40">
        <f t="shared" si="2"/>
        <v>0</v>
      </c>
    </row>
    <row r="97" spans="1:14" x14ac:dyDescent="0.25">
      <c r="A97" s="42" t="s">
        <v>151</v>
      </c>
      <c r="B97" s="42" t="s">
        <v>152</v>
      </c>
      <c r="J97" s="89">
        <f>I97*DATAARK!$B$4</f>
        <v>0</v>
      </c>
      <c r="K97" s="89">
        <f>J97*DATAARK!$C$4</f>
        <v>0</v>
      </c>
      <c r="N97" s="40">
        <f t="shared" si="2"/>
        <v>0</v>
      </c>
    </row>
    <row r="98" spans="1:14" x14ac:dyDescent="0.25">
      <c r="A98" s="42" t="s">
        <v>153</v>
      </c>
      <c r="B98" s="42" t="s">
        <v>154</v>
      </c>
      <c r="J98" s="89">
        <f>I98*DATAARK!$B$4</f>
        <v>0</v>
      </c>
      <c r="K98" s="89">
        <f>J98*DATAARK!$C$4</f>
        <v>0</v>
      </c>
      <c r="N98" s="40">
        <f t="shared" si="2"/>
        <v>0</v>
      </c>
    </row>
    <row r="99" spans="1:14" x14ac:dyDescent="0.25">
      <c r="A99" s="42" t="s">
        <v>155</v>
      </c>
      <c r="B99" s="42" t="s">
        <v>156</v>
      </c>
      <c r="J99" s="89">
        <f>I99*DATAARK!$B$4</f>
        <v>0</v>
      </c>
      <c r="K99" s="89">
        <f>J99*DATAARK!$C$4</f>
        <v>0</v>
      </c>
      <c r="N99" s="40">
        <f t="shared" si="2"/>
        <v>0</v>
      </c>
    </row>
    <row r="100" spans="1:14" x14ac:dyDescent="0.25">
      <c r="A100" s="42" t="s">
        <v>157</v>
      </c>
      <c r="B100" s="42" t="s">
        <v>158</v>
      </c>
      <c r="J100" s="89">
        <f>I100*DATAARK!$B$4</f>
        <v>0</v>
      </c>
      <c r="K100" s="89">
        <f>J100*DATAARK!$C$4</f>
        <v>0</v>
      </c>
      <c r="N100" s="40">
        <f t="shared" si="2"/>
        <v>0</v>
      </c>
    </row>
    <row r="101" spans="1:14" x14ac:dyDescent="0.25">
      <c r="A101" s="42" t="s">
        <v>159</v>
      </c>
      <c r="B101" s="42" t="s">
        <v>160</v>
      </c>
      <c r="J101" s="89">
        <f>I101*DATAARK!$B$4</f>
        <v>0</v>
      </c>
      <c r="K101" s="89">
        <f>J101*DATAARK!$C$4</f>
        <v>0</v>
      </c>
      <c r="N101" s="40">
        <f t="shared" si="2"/>
        <v>0</v>
      </c>
    </row>
    <row r="102" spans="1:14" x14ac:dyDescent="0.25">
      <c r="A102" s="42" t="s">
        <v>161</v>
      </c>
      <c r="B102" s="42" t="s">
        <v>162</v>
      </c>
      <c r="J102" s="89">
        <f>I102*DATAARK!$B$4</f>
        <v>0</v>
      </c>
      <c r="K102" s="89">
        <f>J102*DATAARK!$C$4</f>
        <v>0</v>
      </c>
      <c r="N102" s="40">
        <f t="shared" si="2"/>
        <v>0</v>
      </c>
    </row>
    <row r="103" spans="1:14" x14ac:dyDescent="0.25">
      <c r="A103" s="42" t="s">
        <v>163</v>
      </c>
      <c r="B103" s="42" t="s">
        <v>164</v>
      </c>
      <c r="J103" s="89">
        <f>I103*DATAARK!$B$4</f>
        <v>0</v>
      </c>
      <c r="K103" s="89">
        <f>J103*DATAARK!$C$4</f>
        <v>0</v>
      </c>
      <c r="N103" s="40">
        <f t="shared" si="2"/>
        <v>0</v>
      </c>
    </row>
    <row r="104" spans="1:14" x14ac:dyDescent="0.25">
      <c r="A104" s="42" t="s">
        <v>165</v>
      </c>
      <c r="B104" s="42" t="s">
        <v>166</v>
      </c>
      <c r="J104" s="89">
        <f>I104*DATAARK!$B$4</f>
        <v>0</v>
      </c>
      <c r="K104" s="89">
        <f>J104*DATAARK!$C$4</f>
        <v>0</v>
      </c>
      <c r="N104" s="40">
        <f t="shared" si="2"/>
        <v>0</v>
      </c>
    </row>
    <row r="105" spans="1:14" x14ac:dyDescent="0.25">
      <c r="A105" s="42" t="s">
        <v>167</v>
      </c>
      <c r="B105" s="42" t="s">
        <v>168</v>
      </c>
      <c r="J105" s="89">
        <f>I105*DATAARK!$B$4</f>
        <v>0</v>
      </c>
      <c r="K105" s="89">
        <f>J105*DATAARK!$C$4</f>
        <v>0</v>
      </c>
      <c r="N105" s="40">
        <f t="shared" si="2"/>
        <v>0</v>
      </c>
    </row>
    <row r="106" spans="1:14" x14ac:dyDescent="0.25">
      <c r="A106" s="42" t="s">
        <v>169</v>
      </c>
      <c r="B106" s="42" t="s">
        <v>170</v>
      </c>
      <c r="J106" s="89">
        <f>I106*DATAARK!$B$4</f>
        <v>0</v>
      </c>
      <c r="K106" s="89">
        <f>J106*DATAARK!$C$4</f>
        <v>0</v>
      </c>
      <c r="N106" s="40">
        <f t="shared" si="2"/>
        <v>0</v>
      </c>
    </row>
    <row r="107" spans="1:14" x14ac:dyDescent="0.25">
      <c r="A107" s="43" t="s">
        <v>171</v>
      </c>
      <c r="B107" s="43" t="s">
        <v>172</v>
      </c>
      <c r="C107" s="71">
        <v>-11146835.109999999</v>
      </c>
      <c r="D107" s="71">
        <v>-20801425.399999999</v>
      </c>
      <c r="E107" s="71">
        <v>46.41</v>
      </c>
      <c r="F107" s="71">
        <v>53.59</v>
      </c>
      <c r="G107" s="71">
        <v>-9654590.2899999991</v>
      </c>
      <c r="H107" s="71">
        <v>-19462736.140000001</v>
      </c>
      <c r="I107" s="90">
        <f>SUM(I85:I106)</f>
        <v>-14995264.210000001</v>
      </c>
      <c r="J107" s="89">
        <f>SUM(J85:J106)</f>
        <v>-14995264.210000001</v>
      </c>
      <c r="K107" s="90">
        <f>SUM(K85:K106)</f>
        <v>-14161667.699999999</v>
      </c>
    </row>
    <row r="108" spans="1:14" x14ac:dyDescent="0.25">
      <c r="A108" s="42" t="s">
        <v>12</v>
      </c>
      <c r="B108" s="42" t="s">
        <v>12</v>
      </c>
    </row>
    <row r="109" spans="1:14" x14ac:dyDescent="0.25">
      <c r="A109" s="43" t="s">
        <v>173</v>
      </c>
      <c r="B109" s="43" t="s">
        <v>174</v>
      </c>
      <c r="C109" s="71"/>
      <c r="D109" s="71"/>
      <c r="E109" s="71"/>
      <c r="F109" s="71"/>
      <c r="G109" s="71"/>
      <c r="H109" s="71"/>
      <c r="I109" s="90"/>
      <c r="J109" s="127"/>
      <c r="K109" s="90"/>
    </row>
    <row r="110" spans="1:14" x14ac:dyDescent="0.25">
      <c r="A110" s="42" t="s">
        <v>175</v>
      </c>
      <c r="B110" s="42" t="s">
        <v>174</v>
      </c>
      <c r="C110" s="70">
        <v>-1858390.38</v>
      </c>
      <c r="D110" s="70">
        <v>-4081333.55</v>
      </c>
      <c r="E110" s="70">
        <v>54.47</v>
      </c>
      <c r="F110" s="70">
        <v>45.53</v>
      </c>
      <c r="G110" s="70">
        <v>-2222943.17</v>
      </c>
      <c r="H110" s="70">
        <v>-4037656.88</v>
      </c>
      <c r="I110" s="103">
        <v>-2631804.9700000002</v>
      </c>
      <c r="J110" s="89">
        <f>I110*DATAARK!$B$4</f>
        <v>-2631804.9700000002</v>
      </c>
      <c r="K110" s="89">
        <v>-2457425.5</v>
      </c>
      <c r="N110" s="40">
        <f>IF(J110&gt;0,1,0)</f>
        <v>0</v>
      </c>
    </row>
    <row r="111" spans="1:14" x14ac:dyDescent="0.25">
      <c r="A111" s="42" t="s">
        <v>176</v>
      </c>
      <c r="B111" s="42" t="s">
        <v>177</v>
      </c>
      <c r="J111" s="89">
        <f>I111*DATAARK!$B$4</f>
        <v>0</v>
      </c>
      <c r="K111" s="89">
        <f>J111*DATAARK!$C$4</f>
        <v>0</v>
      </c>
      <c r="N111" s="40">
        <f>IF(J111&gt;0,1,0)</f>
        <v>0</v>
      </c>
    </row>
    <row r="112" spans="1:14" x14ac:dyDescent="0.25">
      <c r="A112" s="43" t="s">
        <v>178</v>
      </c>
      <c r="B112" s="43" t="s">
        <v>179</v>
      </c>
      <c r="C112" s="71">
        <v>-1858390.38</v>
      </c>
      <c r="D112" s="71">
        <v>-4081333.55</v>
      </c>
      <c r="E112" s="71">
        <v>54.47</v>
      </c>
      <c r="F112" s="71">
        <v>45.53</v>
      </c>
      <c r="G112" s="71">
        <v>-2222943.17</v>
      </c>
      <c r="H112" s="71">
        <v>-4037656.88</v>
      </c>
      <c r="I112" s="90">
        <f>I110+I111</f>
        <v>-2631804.9700000002</v>
      </c>
      <c r="J112" s="127">
        <f>J110+J111</f>
        <v>-2631804.9700000002</v>
      </c>
      <c r="K112" s="90">
        <f>K110+K111</f>
        <v>-2457425.5</v>
      </c>
    </row>
    <row r="113" spans="1:14" x14ac:dyDescent="0.25">
      <c r="A113" s="42" t="s">
        <v>12</v>
      </c>
      <c r="B113" s="42" t="s">
        <v>12</v>
      </c>
    </row>
    <row r="114" spans="1:14" x14ac:dyDescent="0.25">
      <c r="A114" s="43" t="s">
        <v>180</v>
      </c>
      <c r="B114" s="43" t="s">
        <v>181</v>
      </c>
      <c r="C114" s="71"/>
      <c r="D114" s="71"/>
      <c r="E114" s="71"/>
      <c r="F114" s="71"/>
      <c r="G114" s="71"/>
      <c r="H114" s="71"/>
      <c r="I114" s="90"/>
      <c r="K114" s="89"/>
    </row>
    <row r="115" spans="1:14" x14ac:dyDescent="0.25">
      <c r="A115" s="42" t="s">
        <v>182</v>
      </c>
      <c r="B115" s="42" t="s">
        <v>183</v>
      </c>
      <c r="C115" s="70">
        <v>1241967.8</v>
      </c>
      <c r="D115" s="70">
        <v>3165715</v>
      </c>
      <c r="E115" s="70">
        <v>60.77</v>
      </c>
      <c r="F115" s="70">
        <v>39.229999999999997</v>
      </c>
      <c r="G115" s="70">
        <v>1923747.2</v>
      </c>
      <c r="H115" s="70">
        <v>2483935.6</v>
      </c>
      <c r="I115" s="103">
        <f>C115*2</f>
        <v>2483935.6</v>
      </c>
      <c r="J115" s="89">
        <f>I115*DATAARK!$B$4</f>
        <v>2483935.6</v>
      </c>
      <c r="K115" s="89">
        <f>J115*DATAARK!$C$4</f>
        <v>2483935.6</v>
      </c>
      <c r="N115" s="40">
        <f t="shared" ref="N115:N121" si="3">IF(J115&gt;0,0,2)</f>
        <v>0</v>
      </c>
    </row>
    <row r="116" spans="1:14" x14ac:dyDescent="0.25">
      <c r="A116" s="42" t="s">
        <v>184</v>
      </c>
      <c r="B116" s="42" t="s">
        <v>185</v>
      </c>
      <c r="C116" s="70">
        <v>227770</v>
      </c>
      <c r="G116" s="70">
        <v>-227770</v>
      </c>
      <c r="H116" s="70">
        <v>227770</v>
      </c>
      <c r="I116" s="103">
        <f>C116</f>
        <v>227770</v>
      </c>
      <c r="J116" s="89">
        <f>I116*DATAARK!$B$4</f>
        <v>227770</v>
      </c>
      <c r="K116" s="89">
        <f>J116*DATAARK!$C$4</f>
        <v>227770</v>
      </c>
      <c r="N116" s="40">
        <f t="shared" si="3"/>
        <v>0</v>
      </c>
    </row>
    <row r="117" spans="1:14" x14ac:dyDescent="0.25">
      <c r="A117" s="42" t="s">
        <v>186</v>
      </c>
      <c r="B117" s="42" t="s">
        <v>187</v>
      </c>
      <c r="J117" s="89">
        <f>I117*DATAARK!$B$4</f>
        <v>0</v>
      </c>
      <c r="K117" s="89">
        <f>J117*DATAARK!$C$4</f>
        <v>0</v>
      </c>
      <c r="N117" s="40">
        <f t="shared" si="3"/>
        <v>2</v>
      </c>
    </row>
    <row r="118" spans="1:14" x14ac:dyDescent="0.25">
      <c r="A118" s="42" t="s">
        <v>188</v>
      </c>
      <c r="B118" s="42" t="s">
        <v>189</v>
      </c>
      <c r="C118" s="70">
        <v>26946.71</v>
      </c>
      <c r="G118" s="70">
        <v>-26946.71</v>
      </c>
      <c r="H118" s="70">
        <v>26946.71</v>
      </c>
      <c r="I118" s="103">
        <f>C118</f>
        <v>26946.71</v>
      </c>
      <c r="J118" s="89">
        <f>I118*DATAARK!$B$4</f>
        <v>26946.71</v>
      </c>
      <c r="K118" s="89">
        <f>J118*DATAARK!$C$4</f>
        <v>26946.71</v>
      </c>
      <c r="N118" s="40">
        <f t="shared" si="3"/>
        <v>0</v>
      </c>
    </row>
    <row r="119" spans="1:14" x14ac:dyDescent="0.25">
      <c r="A119" s="42" t="s">
        <v>190</v>
      </c>
      <c r="B119" s="42" t="s">
        <v>191</v>
      </c>
      <c r="J119" s="89">
        <f>I119*DATAARK!$B$4</f>
        <v>0</v>
      </c>
      <c r="K119" s="89">
        <f>J119*DATAARK!$C$4</f>
        <v>0</v>
      </c>
      <c r="N119" s="40">
        <f t="shared" si="3"/>
        <v>2</v>
      </c>
    </row>
    <row r="120" spans="1:14" x14ac:dyDescent="0.25">
      <c r="A120" s="42" t="s">
        <v>192</v>
      </c>
      <c r="B120" s="42" t="s">
        <v>193</v>
      </c>
      <c r="J120" s="89">
        <f>I120*DATAARK!$B$4</f>
        <v>0</v>
      </c>
      <c r="K120" s="89">
        <f>J120*DATAARK!$C$4</f>
        <v>0</v>
      </c>
      <c r="N120" s="40">
        <f t="shared" si="3"/>
        <v>2</v>
      </c>
    </row>
    <row r="121" spans="1:14" x14ac:dyDescent="0.25">
      <c r="A121" s="42" t="s">
        <v>194</v>
      </c>
      <c r="B121" s="42" t="s">
        <v>195</v>
      </c>
      <c r="C121" s="70">
        <v>121482.11</v>
      </c>
      <c r="G121" s="70">
        <v>-121482.11</v>
      </c>
      <c r="H121" s="70">
        <v>121482.11</v>
      </c>
      <c r="I121" s="103">
        <f>C121</f>
        <v>121482.11</v>
      </c>
      <c r="J121" s="89">
        <f>I121*DATAARK!$B$4</f>
        <v>121482.11</v>
      </c>
      <c r="K121" s="89">
        <f>J121*DATAARK!$C$4</f>
        <v>121482.11</v>
      </c>
      <c r="N121" s="40">
        <f t="shared" si="3"/>
        <v>0</v>
      </c>
    </row>
    <row r="122" spans="1:14" x14ac:dyDescent="0.25">
      <c r="A122" s="43" t="s">
        <v>196</v>
      </c>
      <c r="B122" s="43" t="s">
        <v>197</v>
      </c>
      <c r="C122" s="71">
        <v>1618166.62</v>
      </c>
      <c r="D122" s="71">
        <v>3165715</v>
      </c>
      <c r="E122" s="71">
        <v>48.88</v>
      </c>
      <c r="F122" s="71">
        <v>51.12</v>
      </c>
      <c r="G122" s="71">
        <v>1547548.38</v>
      </c>
      <c r="H122" s="71">
        <v>2860134.42</v>
      </c>
      <c r="I122" s="90">
        <f>SUM(I115:I121)</f>
        <v>2860134.42</v>
      </c>
      <c r="J122" s="127">
        <f>SUM(J115:J121)</f>
        <v>2860134.42</v>
      </c>
      <c r="K122" s="90">
        <f>SUM(K115:K121)</f>
        <v>2860134.42</v>
      </c>
    </row>
    <row r="123" spans="1:14" x14ac:dyDescent="0.25">
      <c r="A123" s="43" t="s">
        <v>198</v>
      </c>
      <c r="B123" s="43" t="s">
        <v>199</v>
      </c>
      <c r="C123" s="71">
        <v>-11387058.869999999</v>
      </c>
      <c r="D123" s="71">
        <v>-21717043.949999999</v>
      </c>
      <c r="E123" s="71">
        <v>47.57</v>
      </c>
      <c r="F123" s="71">
        <v>52.43</v>
      </c>
      <c r="G123" s="71">
        <v>-10329985.08</v>
      </c>
      <c r="H123" s="71">
        <v>-20640258.600000001</v>
      </c>
      <c r="I123" s="90">
        <f>I122+I112+I107</f>
        <v>-14766934.760000002</v>
      </c>
      <c r="J123" s="127">
        <f>J122+J112+J107</f>
        <v>-14766934.760000002</v>
      </c>
      <c r="K123" s="90">
        <f>K122+K112+K107</f>
        <v>-13758958.779999999</v>
      </c>
    </row>
    <row r="124" spans="1:14" x14ac:dyDescent="0.25">
      <c r="A124" s="42" t="s">
        <v>12</v>
      </c>
      <c r="B124" s="42" t="s">
        <v>12</v>
      </c>
    </row>
    <row r="125" spans="1:14" x14ac:dyDescent="0.25">
      <c r="A125" s="43" t="s">
        <v>200</v>
      </c>
      <c r="B125" s="43" t="s">
        <v>201</v>
      </c>
      <c r="C125" s="71">
        <v>-11400603.74</v>
      </c>
      <c r="D125" s="71">
        <v>-21717043.949999999</v>
      </c>
      <c r="E125" s="71">
        <v>47.5</v>
      </c>
      <c r="F125" s="71">
        <v>52.5</v>
      </c>
      <c r="G125" s="71">
        <v>-10316440.210000001</v>
      </c>
      <c r="H125" s="71">
        <v>-20653803.470000003</v>
      </c>
      <c r="I125" s="90">
        <f>I123+I82+I77</f>
        <v>-14780479.630000001</v>
      </c>
      <c r="J125" s="127">
        <f>J123+J82+J77</f>
        <v>-14780479.630000001</v>
      </c>
      <c r="K125" s="90">
        <f>K123+K82+K77</f>
        <v>-13772503.649999999</v>
      </c>
    </row>
    <row r="126" spans="1:14" x14ac:dyDescent="0.25">
      <c r="A126" s="42" t="s">
        <v>12</v>
      </c>
      <c r="B126" s="42" t="s">
        <v>12</v>
      </c>
    </row>
    <row r="127" spans="1:14" x14ac:dyDescent="0.25">
      <c r="A127" s="43" t="s">
        <v>202</v>
      </c>
      <c r="B127" s="43" t="s">
        <v>203</v>
      </c>
      <c r="C127" s="71">
        <v>3039763.18</v>
      </c>
      <c r="D127" s="71">
        <v>10890615.029999999</v>
      </c>
      <c r="E127" s="71">
        <v>72.09</v>
      </c>
      <c r="F127" s="71">
        <v>27.91</v>
      </c>
      <c r="G127" s="71">
        <v>7850851.8499999996</v>
      </c>
      <c r="H127" s="71">
        <v>7193678.8649521284</v>
      </c>
      <c r="I127" s="90">
        <f>I125+I65</f>
        <v>12950063.584952133</v>
      </c>
      <c r="J127" s="127">
        <f>J125+J65</f>
        <v>9912637.9700000007</v>
      </c>
      <c r="K127" s="90">
        <f>K125+K65</f>
        <v>10920613.950000003</v>
      </c>
    </row>
    <row r="128" spans="1:14" x14ac:dyDescent="0.25">
      <c r="A128" s="42" t="s">
        <v>12</v>
      </c>
      <c r="B128" s="42" t="s">
        <v>12</v>
      </c>
    </row>
    <row r="129" spans="1:14" x14ac:dyDescent="0.25">
      <c r="A129" s="43" t="s">
        <v>204</v>
      </c>
      <c r="B129" s="43" t="s">
        <v>205</v>
      </c>
      <c r="C129" s="71"/>
      <c r="D129" s="71"/>
      <c r="E129" s="71"/>
      <c r="F129" s="71"/>
      <c r="G129" s="71"/>
      <c r="H129" s="71"/>
      <c r="I129" s="90"/>
      <c r="J129" s="127"/>
      <c r="K129" s="90"/>
    </row>
    <row r="130" spans="1:14" x14ac:dyDescent="0.25">
      <c r="A130" s="42" t="s">
        <v>206</v>
      </c>
      <c r="B130" s="42" t="s">
        <v>207</v>
      </c>
      <c r="C130" s="70">
        <v>24640</v>
      </c>
      <c r="D130" s="70">
        <v>165880</v>
      </c>
      <c r="E130" s="70">
        <v>85.15</v>
      </c>
      <c r="F130" s="70">
        <v>14.85</v>
      </c>
      <c r="G130" s="70">
        <v>141240</v>
      </c>
      <c r="H130" s="70">
        <v>165880</v>
      </c>
      <c r="I130" s="103">
        <v>165880</v>
      </c>
      <c r="J130" s="89">
        <f>I130*DATAARK!$B$3</f>
        <v>165880</v>
      </c>
      <c r="K130" s="89">
        <f>J130*DATAARK!$C$3</f>
        <v>165880</v>
      </c>
      <c r="N130" s="40">
        <f t="shared" ref="N130:N136" si="4">IF(J130&gt;0,0,2)</f>
        <v>0</v>
      </c>
    </row>
    <row r="131" spans="1:14" x14ac:dyDescent="0.25">
      <c r="A131" s="42" t="s">
        <v>208</v>
      </c>
      <c r="B131" s="42" t="s">
        <v>209</v>
      </c>
      <c r="C131" s="70">
        <v>20501.36</v>
      </c>
      <c r="G131" s="70">
        <v>-20501.36</v>
      </c>
      <c r="H131" s="70">
        <v>20501.36</v>
      </c>
      <c r="J131" s="89">
        <f>I131*DATAARK!$B$3</f>
        <v>0</v>
      </c>
      <c r="K131" s="89">
        <f>J131*DATAARK!$C$3</f>
        <v>0</v>
      </c>
      <c r="N131" s="40">
        <f t="shared" si="4"/>
        <v>2</v>
      </c>
    </row>
    <row r="132" spans="1:14" x14ac:dyDescent="0.25">
      <c r="A132" s="42" t="s">
        <v>210</v>
      </c>
      <c r="B132" s="42" t="s">
        <v>211</v>
      </c>
      <c r="J132" s="89">
        <f>I132*DATAARK!$B$3</f>
        <v>0</v>
      </c>
      <c r="K132" s="89">
        <f>J132*DATAARK!$C$3</f>
        <v>0</v>
      </c>
      <c r="N132" s="40">
        <f t="shared" si="4"/>
        <v>2</v>
      </c>
    </row>
    <row r="133" spans="1:14" x14ac:dyDescent="0.25">
      <c r="A133" s="42" t="s">
        <v>212</v>
      </c>
      <c r="B133" s="42" t="s">
        <v>213</v>
      </c>
      <c r="J133" s="89">
        <f>I133*DATAARK!$B$3</f>
        <v>0</v>
      </c>
      <c r="K133" s="89">
        <f>J133*DATAARK!$C$3</f>
        <v>0</v>
      </c>
      <c r="N133" s="40">
        <f t="shared" si="4"/>
        <v>2</v>
      </c>
    </row>
    <row r="134" spans="1:14" x14ac:dyDescent="0.25">
      <c r="A134" s="42" t="s">
        <v>214</v>
      </c>
      <c r="B134" s="42" t="s">
        <v>215</v>
      </c>
      <c r="J134" s="89">
        <f>I134*DATAARK!$B$3</f>
        <v>0</v>
      </c>
      <c r="K134" s="89">
        <f>J134*DATAARK!$C$3</f>
        <v>0</v>
      </c>
      <c r="N134" s="40">
        <f t="shared" si="4"/>
        <v>2</v>
      </c>
    </row>
    <row r="135" spans="1:14" x14ac:dyDescent="0.25">
      <c r="A135" s="42" t="s">
        <v>216</v>
      </c>
      <c r="B135" s="42" t="s">
        <v>217</v>
      </c>
      <c r="J135" s="89">
        <f>I135*DATAARK!$B$3</f>
        <v>0</v>
      </c>
      <c r="K135" s="89">
        <f>J135*DATAARK!$C$3</f>
        <v>0</v>
      </c>
      <c r="N135" s="40">
        <f t="shared" si="4"/>
        <v>2</v>
      </c>
    </row>
    <row r="136" spans="1:14" x14ac:dyDescent="0.25">
      <c r="A136" s="43" t="s">
        <v>218</v>
      </c>
      <c r="B136" s="43" t="s">
        <v>219</v>
      </c>
      <c r="C136" s="71">
        <v>45141.36</v>
      </c>
      <c r="D136" s="71">
        <v>165880</v>
      </c>
      <c r="E136" s="71">
        <v>72.790000000000006</v>
      </c>
      <c r="F136" s="71">
        <v>27.21</v>
      </c>
      <c r="G136" s="71">
        <v>120738.64</v>
      </c>
      <c r="H136" s="71">
        <v>186381.36</v>
      </c>
      <c r="I136" s="90">
        <f>SUM(I130:I135)</f>
        <v>165880</v>
      </c>
      <c r="J136" s="127">
        <f>SUM(J130:J135)</f>
        <v>165880</v>
      </c>
      <c r="K136" s="90">
        <f>SUM(K130:K135)</f>
        <v>165880</v>
      </c>
      <c r="N136" s="40">
        <f t="shared" si="4"/>
        <v>0</v>
      </c>
    </row>
    <row r="137" spans="1:14" x14ac:dyDescent="0.25">
      <c r="A137" s="42" t="s">
        <v>12</v>
      </c>
      <c r="B137" s="42" t="s">
        <v>12</v>
      </c>
    </row>
    <row r="138" spans="1:14" x14ac:dyDescent="0.25">
      <c r="A138" s="43" t="s">
        <v>220</v>
      </c>
      <c r="B138" s="43" t="s">
        <v>221</v>
      </c>
      <c r="C138" s="71"/>
      <c r="D138" s="71"/>
      <c r="E138" s="71"/>
      <c r="F138" s="71"/>
      <c r="G138" s="71"/>
      <c r="H138" s="71"/>
      <c r="I138" s="90"/>
      <c r="J138" s="127"/>
      <c r="K138" s="90"/>
    </row>
    <row r="139" spans="1:14" x14ac:dyDescent="0.25">
      <c r="A139" s="42" t="s">
        <v>222</v>
      </c>
      <c r="B139" s="42" t="s">
        <v>223</v>
      </c>
      <c r="J139" s="89">
        <f>I139*DATAARK!$B$3</f>
        <v>0</v>
      </c>
      <c r="K139" s="89">
        <f>J139*DATAARK!$C$3</f>
        <v>0</v>
      </c>
      <c r="N139" s="40">
        <f>IF(J139&gt;0,1,0)</f>
        <v>0</v>
      </c>
    </row>
    <row r="140" spans="1:14" x14ac:dyDescent="0.25">
      <c r="A140" s="42" t="s">
        <v>224</v>
      </c>
      <c r="B140" s="42" t="s">
        <v>225</v>
      </c>
      <c r="J140" s="89">
        <f>I140*DATAARK!$B$3</f>
        <v>0</v>
      </c>
      <c r="K140" s="89">
        <f>J140*DATAARK!$C$3</f>
        <v>0</v>
      </c>
      <c r="N140" s="40">
        <f t="shared" ref="N140:N203" si="5">IF(J140&gt;0,1,0)</f>
        <v>0</v>
      </c>
    </row>
    <row r="141" spans="1:14" x14ac:dyDescent="0.25">
      <c r="A141" s="42" t="s">
        <v>226</v>
      </c>
      <c r="B141" s="42" t="s">
        <v>227</v>
      </c>
      <c r="C141" s="70">
        <v>-1560127.08</v>
      </c>
      <c r="D141" s="70">
        <v>-1806086.33</v>
      </c>
      <c r="E141" s="70">
        <v>13.62</v>
      </c>
      <c r="F141" s="70">
        <v>86.38</v>
      </c>
      <c r="G141" s="70">
        <v>-245959.25</v>
      </c>
      <c r="H141" s="70">
        <v>-4288910.2741999989</v>
      </c>
      <c r="I141" s="103">
        <f>'Fælles adm.'!I142*-1*0.43</f>
        <v>-3622371.9611999998</v>
      </c>
      <c r="J141" s="103">
        <f>'Fælles adm.'!J142*-1*0.3655</f>
        <v>-4483203.8660749998</v>
      </c>
      <c r="K141" s="103">
        <f>'Fælles adm.'!K142*-1*0.3655</f>
        <v>-3639800.3572049998</v>
      </c>
      <c r="N141" s="40">
        <f t="shared" si="5"/>
        <v>0</v>
      </c>
    </row>
    <row r="142" spans="1:14" x14ac:dyDescent="0.25">
      <c r="A142" s="42" t="s">
        <v>228</v>
      </c>
      <c r="B142" s="42" t="s">
        <v>229</v>
      </c>
      <c r="J142" s="89">
        <f>I142*DATAARK!$B$3</f>
        <v>0</v>
      </c>
      <c r="K142" s="89">
        <f>J142*DATAARK!$C$3</f>
        <v>0</v>
      </c>
      <c r="N142" s="40">
        <f t="shared" si="5"/>
        <v>0</v>
      </c>
    </row>
    <row r="143" spans="1:14" x14ac:dyDescent="0.25">
      <c r="A143" s="42" t="s">
        <v>230</v>
      </c>
      <c r="B143" s="42" t="s">
        <v>231</v>
      </c>
      <c r="D143" s="70">
        <v>-3000</v>
      </c>
      <c r="E143" s="70">
        <v>100</v>
      </c>
      <c r="G143" s="70">
        <v>-3000</v>
      </c>
      <c r="H143" s="70">
        <v>-3000</v>
      </c>
      <c r="J143" s="89">
        <f>I143*DATAARK!$B$3</f>
        <v>0</v>
      </c>
      <c r="K143" s="89">
        <f>J143*DATAARK!$C$3</f>
        <v>0</v>
      </c>
      <c r="N143" s="40">
        <f t="shared" si="5"/>
        <v>0</v>
      </c>
    </row>
    <row r="144" spans="1:14" x14ac:dyDescent="0.25">
      <c r="A144" s="42" t="s">
        <v>232</v>
      </c>
      <c r="B144" s="42" t="s">
        <v>233</v>
      </c>
      <c r="C144" s="70">
        <v>-2471.7399999999998</v>
      </c>
      <c r="D144" s="70">
        <v>-46000</v>
      </c>
      <c r="E144" s="70">
        <v>94.63</v>
      </c>
      <c r="F144" s="70">
        <v>5.37</v>
      </c>
      <c r="G144" s="70">
        <v>-43528.26</v>
      </c>
      <c r="H144" s="70">
        <v>-46000</v>
      </c>
      <c r="I144" s="103">
        <v>-46000</v>
      </c>
      <c r="J144" s="89">
        <f>I144*DATAARK!$B$3</f>
        <v>-46000</v>
      </c>
      <c r="K144" s="89">
        <f>J144*DATAARK!$C$3</f>
        <v>-46000</v>
      </c>
      <c r="N144" s="40">
        <f t="shared" si="5"/>
        <v>0</v>
      </c>
    </row>
    <row r="145" spans="1:14" x14ac:dyDescent="0.25">
      <c r="A145" s="42" t="s">
        <v>234</v>
      </c>
      <c r="B145" s="42" t="s">
        <v>235</v>
      </c>
      <c r="D145" s="70">
        <v>-5000</v>
      </c>
      <c r="E145" s="70">
        <v>100</v>
      </c>
      <c r="G145" s="70">
        <v>-5000</v>
      </c>
      <c r="H145" s="70">
        <v>-5000</v>
      </c>
      <c r="I145" s="103">
        <v>-5000</v>
      </c>
      <c r="J145" s="89">
        <f>I145*DATAARK!$B$3</f>
        <v>-5000</v>
      </c>
      <c r="K145" s="89">
        <f>J145*DATAARK!$C$3</f>
        <v>-5000</v>
      </c>
      <c r="N145" s="40">
        <f t="shared" si="5"/>
        <v>0</v>
      </c>
    </row>
    <row r="146" spans="1:14" x14ac:dyDescent="0.25">
      <c r="A146" s="42" t="s">
        <v>236</v>
      </c>
      <c r="B146" s="42" t="s">
        <v>237</v>
      </c>
      <c r="C146" s="70">
        <v>-96.54</v>
      </c>
      <c r="D146" s="70">
        <v>-5000</v>
      </c>
      <c r="E146" s="70">
        <v>98.07</v>
      </c>
      <c r="F146" s="70">
        <v>1.93</v>
      </c>
      <c r="G146" s="70">
        <v>-4903.46</v>
      </c>
      <c r="H146" s="70">
        <v>-5000</v>
      </c>
      <c r="I146" s="103">
        <v>-5000</v>
      </c>
      <c r="J146" s="89">
        <f>I146*DATAARK!$B$3</f>
        <v>-5000</v>
      </c>
      <c r="K146" s="89">
        <f>J146*DATAARK!$C$3</f>
        <v>-5000</v>
      </c>
      <c r="N146" s="40">
        <f t="shared" si="5"/>
        <v>0</v>
      </c>
    </row>
    <row r="147" spans="1:14" x14ac:dyDescent="0.25">
      <c r="A147" s="42" t="s">
        <v>238</v>
      </c>
      <c r="B147" s="42" t="s">
        <v>239</v>
      </c>
      <c r="C147" s="70">
        <v>-1764.75</v>
      </c>
      <c r="D147" s="70">
        <v>-16000</v>
      </c>
      <c r="E147" s="70">
        <v>88.97</v>
      </c>
      <c r="F147" s="70">
        <v>11.03</v>
      </c>
      <c r="G147" s="70">
        <v>-14235.25</v>
      </c>
      <c r="H147" s="70">
        <v>-16000</v>
      </c>
      <c r="I147" s="103">
        <v>-4000</v>
      </c>
      <c r="J147" s="89">
        <f>I147*DATAARK!$B$3</f>
        <v>-4000</v>
      </c>
      <c r="K147" s="89">
        <f>J147*DATAARK!$C$3</f>
        <v>-4000</v>
      </c>
      <c r="N147" s="40">
        <f t="shared" si="5"/>
        <v>0</v>
      </c>
    </row>
    <row r="148" spans="1:14" x14ac:dyDescent="0.25">
      <c r="A148" s="42" t="s">
        <v>240</v>
      </c>
      <c r="B148" s="42" t="s">
        <v>241</v>
      </c>
      <c r="C148" s="70">
        <v>-114797.93</v>
      </c>
      <c r="G148" s="70">
        <v>114797.93</v>
      </c>
      <c r="H148" s="70">
        <v>-114797.93</v>
      </c>
      <c r="J148" s="89">
        <f>I148*DATAARK!$B$3</f>
        <v>0</v>
      </c>
      <c r="K148" s="89">
        <f>J148*DATAARK!$C$3</f>
        <v>0</v>
      </c>
      <c r="N148" s="40">
        <f t="shared" si="5"/>
        <v>0</v>
      </c>
    </row>
    <row r="149" spans="1:14" x14ac:dyDescent="0.25">
      <c r="A149" s="42" t="s">
        <v>242</v>
      </c>
      <c r="B149" s="42" t="s">
        <v>243</v>
      </c>
      <c r="C149" s="70">
        <v>-27504.65</v>
      </c>
      <c r="D149" s="70">
        <v>-50000</v>
      </c>
      <c r="E149" s="70">
        <v>44.99</v>
      </c>
      <c r="F149" s="70">
        <v>55.01</v>
      </c>
      <c r="G149" s="70">
        <v>-22495.35</v>
      </c>
      <c r="H149" s="70">
        <v>-50000</v>
      </c>
      <c r="J149" s="89">
        <f>I149*DATAARK!$B$3</f>
        <v>0</v>
      </c>
      <c r="K149" s="89">
        <f>J149*DATAARK!$C$3</f>
        <v>0</v>
      </c>
      <c r="N149" s="40">
        <f t="shared" si="5"/>
        <v>0</v>
      </c>
    </row>
    <row r="150" spans="1:14" x14ac:dyDescent="0.25">
      <c r="A150" s="42" t="s">
        <v>244</v>
      </c>
      <c r="B150" s="42" t="s">
        <v>245</v>
      </c>
      <c r="C150" s="70">
        <v>-20713.55</v>
      </c>
      <c r="D150" s="70">
        <v>-60000</v>
      </c>
      <c r="E150" s="70">
        <v>65.48</v>
      </c>
      <c r="F150" s="70">
        <v>34.520000000000003</v>
      </c>
      <c r="G150" s="70">
        <v>-39286.449999999997</v>
      </c>
      <c r="H150" s="70">
        <v>-60000</v>
      </c>
      <c r="J150" s="89">
        <f>I150*DATAARK!$B$3</f>
        <v>0</v>
      </c>
      <c r="K150" s="89">
        <f>J150*DATAARK!$C$3</f>
        <v>0</v>
      </c>
      <c r="N150" s="40">
        <f t="shared" si="5"/>
        <v>0</v>
      </c>
    </row>
    <row r="151" spans="1:14" x14ac:dyDescent="0.25">
      <c r="A151" s="42" t="s">
        <v>246</v>
      </c>
      <c r="B151" s="42" t="s">
        <v>247</v>
      </c>
      <c r="C151" s="70">
        <v>-40534.699999999997</v>
      </c>
      <c r="D151" s="70">
        <v>-1845000</v>
      </c>
      <c r="E151" s="70">
        <v>97.8</v>
      </c>
      <c r="F151" s="70">
        <v>2.2000000000000002</v>
      </c>
      <c r="G151" s="70">
        <v>-1804465.3</v>
      </c>
      <c r="H151" s="70">
        <v>-920000</v>
      </c>
      <c r="K151" s="89">
        <v>0</v>
      </c>
      <c r="N151" s="40">
        <f t="shared" si="5"/>
        <v>0</v>
      </c>
    </row>
    <row r="152" spans="1:14" x14ac:dyDescent="0.25">
      <c r="A152" s="42" t="s">
        <v>248</v>
      </c>
      <c r="B152" s="42" t="s">
        <v>249</v>
      </c>
      <c r="C152" s="70">
        <v>-56598.15</v>
      </c>
      <c r="D152" s="70">
        <v>-120000</v>
      </c>
      <c r="E152" s="70">
        <v>52.83</v>
      </c>
      <c r="F152" s="70">
        <v>47.17</v>
      </c>
      <c r="G152" s="70">
        <v>-63401.85</v>
      </c>
      <c r="H152" s="70">
        <v>-120000</v>
      </c>
      <c r="I152" s="103">
        <v>-120000</v>
      </c>
      <c r="J152" s="89">
        <f>I152*DATAARK!$B$3</f>
        <v>-120000</v>
      </c>
      <c r="K152" s="89">
        <f>J152*DATAARK!$C$3</f>
        <v>-120000</v>
      </c>
      <c r="N152" s="40">
        <f t="shared" si="5"/>
        <v>0</v>
      </c>
    </row>
    <row r="153" spans="1:14" x14ac:dyDescent="0.25">
      <c r="A153" s="42" t="s">
        <v>250</v>
      </c>
      <c r="B153" s="42" t="s">
        <v>251</v>
      </c>
      <c r="J153" s="89">
        <f>I153*DATAARK!$B$3</f>
        <v>0</v>
      </c>
      <c r="K153" s="89">
        <f>J153*DATAARK!$C$3</f>
        <v>0</v>
      </c>
      <c r="N153" s="40">
        <f t="shared" si="5"/>
        <v>0</v>
      </c>
    </row>
    <row r="154" spans="1:14" x14ac:dyDescent="0.25">
      <c r="A154" s="42" t="s">
        <v>252</v>
      </c>
      <c r="B154" s="42" t="s">
        <v>253</v>
      </c>
      <c r="C154" s="70">
        <v>-10488.3</v>
      </c>
      <c r="G154" s="70">
        <v>10488.3</v>
      </c>
      <c r="H154" s="70">
        <v>-10488.3</v>
      </c>
      <c r="I154" s="103">
        <f>C154</f>
        <v>-10488.3</v>
      </c>
      <c r="J154" s="89">
        <f>I154*DATAARK!$B$3</f>
        <v>-10488.3</v>
      </c>
      <c r="K154" s="89">
        <f>J154*DATAARK!$C$3</f>
        <v>-10488.3</v>
      </c>
      <c r="N154" s="40">
        <f t="shared" si="5"/>
        <v>0</v>
      </c>
    </row>
    <row r="155" spans="1:14" x14ac:dyDescent="0.25">
      <c r="A155" s="42" t="s">
        <v>254</v>
      </c>
      <c r="B155" s="42" t="s">
        <v>255</v>
      </c>
      <c r="C155" s="70">
        <v>-31540</v>
      </c>
      <c r="D155" s="70">
        <v>-50000</v>
      </c>
      <c r="E155" s="70">
        <v>36.92</v>
      </c>
      <c r="F155" s="70">
        <v>63.08</v>
      </c>
      <c r="G155" s="70">
        <v>-18460</v>
      </c>
      <c r="H155" s="70">
        <v>-50000</v>
      </c>
      <c r="J155" s="89">
        <f>I155*DATAARK!$B$3</f>
        <v>0</v>
      </c>
      <c r="K155" s="89">
        <f>J155*DATAARK!$C$3</f>
        <v>0</v>
      </c>
      <c r="N155" s="40">
        <f t="shared" si="5"/>
        <v>0</v>
      </c>
    </row>
    <row r="156" spans="1:14" x14ac:dyDescent="0.25">
      <c r="A156" s="42" t="s">
        <v>256</v>
      </c>
      <c r="B156" s="42" t="s">
        <v>257</v>
      </c>
      <c r="D156" s="70">
        <v>-33700</v>
      </c>
      <c r="E156" s="70">
        <v>100</v>
      </c>
      <c r="G156" s="70">
        <v>-33700</v>
      </c>
      <c r="H156" s="70">
        <v>-33700</v>
      </c>
      <c r="I156" s="103">
        <v>-22500</v>
      </c>
      <c r="J156" s="89">
        <f>I156*DATAARK!$B$3</f>
        <v>-22500</v>
      </c>
      <c r="K156" s="89">
        <f>J156*DATAARK!$C$3</f>
        <v>-22500</v>
      </c>
      <c r="N156" s="40">
        <f t="shared" si="5"/>
        <v>0</v>
      </c>
    </row>
    <row r="157" spans="1:14" x14ac:dyDescent="0.25">
      <c r="A157" s="42" t="s">
        <v>258</v>
      </c>
      <c r="B157" s="42" t="s">
        <v>259</v>
      </c>
      <c r="J157" s="89">
        <f>I157*DATAARK!$B$3</f>
        <v>0</v>
      </c>
      <c r="K157" s="89">
        <f>J157*DATAARK!$C$3</f>
        <v>0</v>
      </c>
      <c r="N157" s="40">
        <f t="shared" si="5"/>
        <v>0</v>
      </c>
    </row>
    <row r="158" spans="1:14" x14ac:dyDescent="0.25">
      <c r="A158" s="42" t="s">
        <v>260</v>
      </c>
      <c r="B158" s="42" t="s">
        <v>261</v>
      </c>
      <c r="D158" s="70">
        <v>-328943</v>
      </c>
      <c r="E158" s="70">
        <v>100</v>
      </c>
      <c r="G158" s="70">
        <v>-328943</v>
      </c>
      <c r="H158" s="70">
        <v>0</v>
      </c>
      <c r="I158" s="103">
        <v>0</v>
      </c>
      <c r="J158" s="89">
        <f>I158*DATAARK!$B$3</f>
        <v>0</v>
      </c>
      <c r="K158" s="89">
        <f>J158*DATAARK!$C$3</f>
        <v>0</v>
      </c>
      <c r="N158" s="40">
        <f t="shared" si="5"/>
        <v>0</v>
      </c>
    </row>
    <row r="159" spans="1:14" x14ac:dyDescent="0.25">
      <c r="A159" s="42" t="s">
        <v>262</v>
      </c>
      <c r="B159" s="42" t="s">
        <v>263</v>
      </c>
      <c r="C159" s="70">
        <v>-10476.549999999999</v>
      </c>
      <c r="D159" s="70">
        <v>-80000</v>
      </c>
      <c r="E159" s="70">
        <v>86.9</v>
      </c>
      <c r="F159" s="70">
        <v>13.1</v>
      </c>
      <c r="G159" s="70">
        <v>-69523.45</v>
      </c>
      <c r="H159" s="70">
        <v>-80000</v>
      </c>
      <c r="J159" s="89">
        <f>I159*DATAARK!$B$3</f>
        <v>0</v>
      </c>
      <c r="K159" s="89">
        <f>J159*DATAARK!$C$3</f>
        <v>0</v>
      </c>
      <c r="N159" s="40">
        <f t="shared" si="5"/>
        <v>0</v>
      </c>
    </row>
    <row r="160" spans="1:14" x14ac:dyDescent="0.25">
      <c r="A160" s="42" t="s">
        <v>264</v>
      </c>
      <c r="B160" s="42" t="s">
        <v>265</v>
      </c>
      <c r="J160" s="89">
        <f>I160*DATAARK!$B$3</f>
        <v>0</v>
      </c>
      <c r="K160" s="89">
        <f>J160*DATAARK!$C$3</f>
        <v>0</v>
      </c>
      <c r="N160" s="40">
        <f t="shared" si="5"/>
        <v>0</v>
      </c>
    </row>
    <row r="161" spans="1:14" x14ac:dyDescent="0.25">
      <c r="A161" s="42" t="s">
        <v>266</v>
      </c>
      <c r="B161" s="42" t="s">
        <v>267</v>
      </c>
      <c r="J161" s="89">
        <f>I161*DATAARK!$B$3</f>
        <v>0</v>
      </c>
      <c r="K161" s="89">
        <f>J161*DATAARK!$C$3</f>
        <v>0</v>
      </c>
      <c r="N161" s="40">
        <f t="shared" si="5"/>
        <v>0</v>
      </c>
    </row>
    <row r="162" spans="1:14" x14ac:dyDescent="0.25">
      <c r="A162" s="42" t="s">
        <v>268</v>
      </c>
      <c r="B162" s="42" t="s">
        <v>269</v>
      </c>
      <c r="C162" s="70">
        <v>-126316.63</v>
      </c>
      <c r="D162" s="70">
        <v>-395000</v>
      </c>
      <c r="E162" s="70">
        <v>68.02</v>
      </c>
      <c r="F162" s="70">
        <v>31.98</v>
      </c>
      <c r="G162" s="70">
        <v>-268683.37</v>
      </c>
      <c r="H162" s="70">
        <v>-300000</v>
      </c>
      <c r="J162" s="89">
        <f>I162*DATAARK!$B$3</f>
        <v>0</v>
      </c>
      <c r="K162" s="89">
        <f>J162*DATAARK!$C$3</f>
        <v>0</v>
      </c>
      <c r="N162" s="40">
        <f t="shared" si="5"/>
        <v>0</v>
      </c>
    </row>
    <row r="163" spans="1:14" x14ac:dyDescent="0.25">
      <c r="A163" s="42" t="s">
        <v>270</v>
      </c>
      <c r="B163" s="42" t="s">
        <v>271</v>
      </c>
      <c r="C163" s="70">
        <v>-203819.96</v>
      </c>
      <c r="D163" s="70">
        <v>-350000</v>
      </c>
      <c r="E163" s="70">
        <v>41.77</v>
      </c>
      <c r="F163" s="70">
        <v>58.23</v>
      </c>
      <c r="G163" s="70">
        <v>-146180.04</v>
      </c>
      <c r="H163" s="70">
        <v>-300000</v>
      </c>
      <c r="J163" s="89">
        <f>I163*DATAARK!$B$3</f>
        <v>0</v>
      </c>
      <c r="K163" s="89">
        <f>J163*DATAARK!$C$3</f>
        <v>0</v>
      </c>
      <c r="N163" s="40">
        <f t="shared" si="5"/>
        <v>0</v>
      </c>
    </row>
    <row r="164" spans="1:14" x14ac:dyDescent="0.25">
      <c r="A164" s="42" t="s">
        <v>272</v>
      </c>
      <c r="B164" s="42" t="s">
        <v>273</v>
      </c>
      <c r="C164" s="70">
        <v>-54298.68</v>
      </c>
      <c r="D164" s="70">
        <v>-128642</v>
      </c>
      <c r="E164" s="70">
        <v>57.79</v>
      </c>
      <c r="F164" s="70">
        <v>42.21</v>
      </c>
      <c r="G164" s="70">
        <v>-74343.320000000007</v>
      </c>
      <c r="H164" s="70">
        <v>-108597.36</v>
      </c>
      <c r="J164" s="89">
        <f>I164*DATAARK!$B$3</f>
        <v>0</v>
      </c>
      <c r="K164" s="89">
        <f>J164*DATAARK!$C$3</f>
        <v>0</v>
      </c>
      <c r="N164" s="40">
        <f t="shared" si="5"/>
        <v>0</v>
      </c>
    </row>
    <row r="165" spans="1:14" x14ac:dyDescent="0.25">
      <c r="A165" s="42" t="s">
        <v>274</v>
      </c>
      <c r="B165" s="42" t="s">
        <v>275</v>
      </c>
      <c r="C165" s="70">
        <v>-8578.06</v>
      </c>
      <c r="D165" s="70">
        <v>-20000</v>
      </c>
      <c r="E165" s="70">
        <v>57.11</v>
      </c>
      <c r="F165" s="70">
        <v>42.89</v>
      </c>
      <c r="G165" s="70">
        <v>-11421.94</v>
      </c>
      <c r="H165" s="70">
        <v>-20000</v>
      </c>
      <c r="J165" s="89">
        <f>I165*DATAARK!$B$3</f>
        <v>0</v>
      </c>
      <c r="K165" s="89">
        <f>J165*DATAARK!$C$3</f>
        <v>0</v>
      </c>
      <c r="N165" s="40">
        <f t="shared" si="5"/>
        <v>0</v>
      </c>
    </row>
    <row r="166" spans="1:14" x14ac:dyDescent="0.25">
      <c r="A166" s="42" t="s">
        <v>276</v>
      </c>
      <c r="B166" s="42" t="s">
        <v>277</v>
      </c>
      <c r="C166" s="70">
        <v>-5523.19</v>
      </c>
      <c r="D166" s="70">
        <v>-35000</v>
      </c>
      <c r="E166" s="70">
        <v>84.22</v>
      </c>
      <c r="F166" s="70">
        <v>15.78</v>
      </c>
      <c r="G166" s="70">
        <v>-29476.81</v>
      </c>
      <c r="H166" s="70">
        <v>-35000</v>
      </c>
      <c r="J166" s="89">
        <f>I166*DATAARK!$B$3</f>
        <v>0</v>
      </c>
      <c r="K166" s="89">
        <f>J166*DATAARK!$C$3</f>
        <v>0</v>
      </c>
      <c r="N166" s="40">
        <f t="shared" si="5"/>
        <v>0</v>
      </c>
    </row>
    <row r="167" spans="1:14" x14ac:dyDescent="0.25">
      <c r="A167" s="42" t="s">
        <v>278</v>
      </c>
      <c r="B167" s="42" t="s">
        <v>279</v>
      </c>
      <c r="J167" s="89">
        <f>I167*DATAARK!$B$3</f>
        <v>0</v>
      </c>
      <c r="K167" s="89">
        <f>J167*DATAARK!$C$3</f>
        <v>0</v>
      </c>
      <c r="N167" s="40">
        <f t="shared" si="5"/>
        <v>0</v>
      </c>
    </row>
    <row r="168" spans="1:14" x14ac:dyDescent="0.25">
      <c r="A168" s="42" t="s">
        <v>280</v>
      </c>
      <c r="B168" s="42" t="s">
        <v>281</v>
      </c>
      <c r="C168" s="70">
        <v>-60775.98</v>
      </c>
      <c r="D168" s="70">
        <v>-70000</v>
      </c>
      <c r="E168" s="70">
        <v>13.18</v>
      </c>
      <c r="F168" s="70">
        <v>86.82</v>
      </c>
      <c r="G168" s="70">
        <v>-9224.02</v>
      </c>
      <c r="H168" s="70">
        <v>-70000</v>
      </c>
      <c r="I168" s="103">
        <v>-70000</v>
      </c>
      <c r="J168" s="89">
        <f>I168*DATAARK!$B$3</f>
        <v>-70000</v>
      </c>
      <c r="K168" s="89">
        <f>J168*DATAARK!$C$3</f>
        <v>-70000</v>
      </c>
      <c r="N168" s="40">
        <f t="shared" si="5"/>
        <v>0</v>
      </c>
    </row>
    <row r="169" spans="1:14" x14ac:dyDescent="0.25">
      <c r="A169" s="42" t="s">
        <v>282</v>
      </c>
      <c r="B169" s="42" t="s">
        <v>283</v>
      </c>
      <c r="C169" s="70">
        <v>-43218.53</v>
      </c>
      <c r="D169" s="70">
        <v>-40000</v>
      </c>
      <c r="E169" s="70">
        <v>-8.0500000000000007</v>
      </c>
      <c r="F169" s="70">
        <v>108.05</v>
      </c>
      <c r="G169" s="70">
        <v>3218.53</v>
      </c>
      <c r="H169" s="70">
        <v>-40000</v>
      </c>
      <c r="J169" s="89">
        <f>I169*DATAARK!$B$3</f>
        <v>0</v>
      </c>
      <c r="K169" s="89">
        <f>J169*DATAARK!$C$3</f>
        <v>0</v>
      </c>
      <c r="N169" s="40">
        <f t="shared" si="5"/>
        <v>0</v>
      </c>
    </row>
    <row r="170" spans="1:14" x14ac:dyDescent="0.25">
      <c r="A170" s="42" t="s">
        <v>284</v>
      </c>
      <c r="B170" s="42" t="s">
        <v>285</v>
      </c>
      <c r="J170" s="89">
        <f>I170*DATAARK!$B$3</f>
        <v>0</v>
      </c>
      <c r="K170" s="89">
        <f>J170*DATAARK!$C$3</f>
        <v>0</v>
      </c>
      <c r="N170" s="40">
        <f t="shared" si="5"/>
        <v>0</v>
      </c>
    </row>
    <row r="171" spans="1:14" x14ac:dyDescent="0.25">
      <c r="A171" s="42" t="s">
        <v>286</v>
      </c>
      <c r="B171" s="42" t="s">
        <v>287</v>
      </c>
      <c r="D171" s="70">
        <v>-15000</v>
      </c>
      <c r="E171" s="70">
        <v>100</v>
      </c>
      <c r="G171" s="70">
        <v>-15000</v>
      </c>
      <c r="H171" s="70">
        <v>0</v>
      </c>
      <c r="I171" s="103">
        <v>0</v>
      </c>
      <c r="J171" s="89">
        <f>I171*DATAARK!$B$3</f>
        <v>0</v>
      </c>
      <c r="K171" s="89">
        <f>J171*DATAARK!$C$3</f>
        <v>0</v>
      </c>
      <c r="N171" s="40">
        <f t="shared" si="5"/>
        <v>0</v>
      </c>
    </row>
    <row r="172" spans="1:14" x14ac:dyDescent="0.25">
      <c r="A172" s="42" t="s">
        <v>288</v>
      </c>
      <c r="B172" s="42" t="s">
        <v>289</v>
      </c>
      <c r="C172" s="70">
        <v>-23160</v>
      </c>
      <c r="D172" s="70">
        <v>-15000</v>
      </c>
      <c r="E172" s="70">
        <v>-54.4</v>
      </c>
      <c r="F172" s="70">
        <v>154.4</v>
      </c>
      <c r="G172" s="70">
        <v>8160</v>
      </c>
      <c r="H172" s="70">
        <v>-23160</v>
      </c>
      <c r="I172" s="103">
        <v>-25000</v>
      </c>
      <c r="J172" s="89">
        <f>I172*DATAARK!$B$3</f>
        <v>-25000</v>
      </c>
      <c r="K172" s="89">
        <f>J172*DATAARK!$C$3</f>
        <v>-25000</v>
      </c>
      <c r="N172" s="40">
        <f t="shared" si="5"/>
        <v>0</v>
      </c>
    </row>
    <row r="173" spans="1:14" x14ac:dyDescent="0.25">
      <c r="A173" s="42" t="s">
        <v>290</v>
      </c>
      <c r="B173" s="42" t="s">
        <v>291</v>
      </c>
      <c r="C173" s="70">
        <v>-2168</v>
      </c>
      <c r="D173" s="70">
        <v>-11000</v>
      </c>
      <c r="E173" s="70">
        <v>80.290000000000006</v>
      </c>
      <c r="F173" s="70">
        <v>19.71</v>
      </c>
      <c r="G173" s="70">
        <v>-8832</v>
      </c>
      <c r="H173" s="70">
        <v>-11000</v>
      </c>
      <c r="I173" s="103">
        <v>-11000</v>
      </c>
      <c r="J173" s="89">
        <f>I173*DATAARK!$B$3</f>
        <v>-11000</v>
      </c>
      <c r="K173" s="89">
        <f>J173*DATAARK!$C$3</f>
        <v>-11000</v>
      </c>
      <c r="N173" s="40">
        <f t="shared" si="5"/>
        <v>0</v>
      </c>
    </row>
    <row r="174" spans="1:14" x14ac:dyDescent="0.25">
      <c r="A174" s="42" t="s">
        <v>292</v>
      </c>
      <c r="B174" s="42" t="s">
        <v>293</v>
      </c>
      <c r="C174" s="70">
        <v>-21328.62</v>
      </c>
      <c r="D174" s="70">
        <v>-80000</v>
      </c>
      <c r="E174" s="70">
        <v>73.34</v>
      </c>
      <c r="F174" s="70">
        <v>26.66</v>
      </c>
      <c r="G174" s="70">
        <v>-58671.38</v>
      </c>
      <c r="H174" s="70">
        <v>-80000</v>
      </c>
      <c r="I174" s="103">
        <v>-80000</v>
      </c>
      <c r="J174" s="89">
        <f>I174*DATAARK!$B$3</f>
        <v>-80000</v>
      </c>
      <c r="K174" s="89">
        <f>J174*DATAARK!$C$3</f>
        <v>-80000</v>
      </c>
      <c r="N174" s="40">
        <f t="shared" si="5"/>
        <v>0</v>
      </c>
    </row>
    <row r="175" spans="1:14" x14ac:dyDescent="0.25">
      <c r="A175" s="42" t="s">
        <v>294</v>
      </c>
      <c r="B175" s="42" t="s">
        <v>295</v>
      </c>
      <c r="C175" s="70">
        <v>-529440.96</v>
      </c>
      <c r="D175" s="70">
        <v>-20000</v>
      </c>
      <c r="E175" s="70">
        <v>-2547.1999999999998</v>
      </c>
      <c r="F175" s="70">
        <v>2647.2</v>
      </c>
      <c r="G175" s="70">
        <v>509440.96</v>
      </c>
      <c r="H175" s="70">
        <v>-46674.479999999981</v>
      </c>
      <c r="J175" s="89">
        <f>I175*DATAARK!$B$3</f>
        <v>0</v>
      </c>
      <c r="K175" s="89">
        <f>J175*DATAARK!$C$3</f>
        <v>0</v>
      </c>
      <c r="N175" s="40">
        <f t="shared" si="5"/>
        <v>0</v>
      </c>
    </row>
    <row r="176" spans="1:14" x14ac:dyDescent="0.25">
      <c r="A176" s="42" t="s">
        <v>296</v>
      </c>
      <c r="B176" s="42" t="s">
        <v>297</v>
      </c>
      <c r="C176" s="70">
        <v>-2550.9299999999998</v>
      </c>
      <c r="D176" s="70">
        <v>-6000</v>
      </c>
      <c r="E176" s="70">
        <v>57.48</v>
      </c>
      <c r="F176" s="70">
        <v>42.52</v>
      </c>
      <c r="G176" s="70">
        <v>-3449.07</v>
      </c>
      <c r="H176" s="70">
        <v>-6000</v>
      </c>
      <c r="I176" s="103">
        <v>-6000</v>
      </c>
      <c r="J176" s="89">
        <f>I176*DATAARK!$B$3</f>
        <v>-6000</v>
      </c>
      <c r="K176" s="89">
        <f>J176*DATAARK!$C$3</f>
        <v>-6000</v>
      </c>
      <c r="N176" s="40">
        <f t="shared" si="5"/>
        <v>0</v>
      </c>
    </row>
    <row r="177" spans="1:14" x14ac:dyDescent="0.25">
      <c r="A177" s="42" t="s">
        <v>298</v>
      </c>
      <c r="B177" s="42" t="s">
        <v>299</v>
      </c>
      <c r="C177" s="70">
        <v>-254310.75</v>
      </c>
      <c r="D177" s="70">
        <v>-400000</v>
      </c>
      <c r="E177" s="70">
        <v>36.42</v>
      </c>
      <c r="F177" s="70">
        <v>63.58</v>
      </c>
      <c r="G177" s="70">
        <v>-145689.25</v>
      </c>
      <c r="H177" s="70">
        <v>-400000</v>
      </c>
      <c r="I177" s="103">
        <v>-400000</v>
      </c>
      <c r="J177" s="89">
        <f>I177*DATAARK!$B$3</f>
        <v>-400000</v>
      </c>
      <c r="K177" s="89">
        <f>J177*DATAARK!$C$3</f>
        <v>-400000</v>
      </c>
      <c r="N177" s="40">
        <f t="shared" si="5"/>
        <v>0</v>
      </c>
    </row>
    <row r="178" spans="1:14" x14ac:dyDescent="0.25">
      <c r="A178" s="42" t="s">
        <v>300</v>
      </c>
      <c r="B178" s="42" t="s">
        <v>301</v>
      </c>
      <c r="C178" s="70">
        <v>-10157.959999999999</v>
      </c>
      <c r="D178" s="70">
        <v>-1000</v>
      </c>
      <c r="E178" s="70">
        <v>-915.8</v>
      </c>
      <c r="F178" s="70">
        <v>1015.8</v>
      </c>
      <c r="G178" s="70">
        <v>9157.9599999999991</v>
      </c>
      <c r="H178" s="70">
        <v>-10157.959999999999</v>
      </c>
      <c r="I178" s="103">
        <f>C178</f>
        <v>-10157.959999999999</v>
      </c>
      <c r="J178" s="89">
        <f>I178*DATAARK!$B$3</f>
        <v>-10157.959999999999</v>
      </c>
      <c r="K178" s="89">
        <f>J178*DATAARK!$C$3</f>
        <v>-10157.959999999999</v>
      </c>
      <c r="N178" s="40">
        <f t="shared" si="5"/>
        <v>0</v>
      </c>
    </row>
    <row r="179" spans="1:14" x14ac:dyDescent="0.25">
      <c r="A179" s="42" t="s">
        <v>302</v>
      </c>
      <c r="B179" s="42" t="s">
        <v>303</v>
      </c>
      <c r="D179" s="70">
        <v>-15000</v>
      </c>
      <c r="E179" s="70">
        <v>100</v>
      </c>
      <c r="G179" s="70">
        <v>-15000</v>
      </c>
      <c r="H179" s="70">
        <v>-15000</v>
      </c>
      <c r="I179" s="103">
        <v>-15000</v>
      </c>
      <c r="J179" s="89">
        <f>I179*DATAARK!$B$3</f>
        <v>-15000</v>
      </c>
      <c r="K179" s="89">
        <f>J179*DATAARK!$C$3</f>
        <v>-15000</v>
      </c>
      <c r="N179" s="40">
        <f t="shared" si="5"/>
        <v>0</v>
      </c>
    </row>
    <row r="180" spans="1:14" x14ac:dyDescent="0.25">
      <c r="A180" s="42" t="s">
        <v>304</v>
      </c>
      <c r="B180" s="42" t="s">
        <v>305</v>
      </c>
      <c r="D180" s="70">
        <v>-10000</v>
      </c>
      <c r="E180" s="70">
        <v>100</v>
      </c>
      <c r="G180" s="70">
        <v>-10000</v>
      </c>
      <c r="H180" s="70">
        <v>-5000</v>
      </c>
      <c r="I180" s="103">
        <v>-5000</v>
      </c>
      <c r="J180" s="89">
        <f>I180*DATAARK!$B$3</f>
        <v>-5000</v>
      </c>
      <c r="K180" s="89">
        <f>J180*DATAARK!$C$3</f>
        <v>-5000</v>
      </c>
      <c r="N180" s="40">
        <f t="shared" si="5"/>
        <v>0</v>
      </c>
    </row>
    <row r="181" spans="1:14" x14ac:dyDescent="0.25">
      <c r="A181" s="42" t="s">
        <v>306</v>
      </c>
      <c r="B181" s="42" t="s">
        <v>307</v>
      </c>
      <c r="C181" s="70">
        <v>-150272.9</v>
      </c>
      <c r="D181" s="70">
        <v>-100000</v>
      </c>
      <c r="E181" s="70">
        <v>-50.27</v>
      </c>
      <c r="F181" s="70">
        <v>150.27000000000001</v>
      </c>
      <c r="G181" s="70">
        <v>50272.9</v>
      </c>
      <c r="H181" s="70">
        <v>-200000</v>
      </c>
      <c r="I181" s="103">
        <v>-200000</v>
      </c>
      <c r="J181" s="89">
        <f>I181*DATAARK!$B$3</f>
        <v>-200000</v>
      </c>
      <c r="K181" s="89">
        <f>J181*DATAARK!$C$3</f>
        <v>-200000</v>
      </c>
      <c r="N181" s="40">
        <f t="shared" si="5"/>
        <v>0</v>
      </c>
    </row>
    <row r="182" spans="1:14" x14ac:dyDescent="0.25">
      <c r="A182" s="42" t="s">
        <v>308</v>
      </c>
      <c r="B182" s="42" t="s">
        <v>309</v>
      </c>
      <c r="C182" s="70">
        <v>170263.85</v>
      </c>
      <c r="D182" s="70">
        <v>-80000</v>
      </c>
      <c r="E182" s="70">
        <v>312.83</v>
      </c>
      <c r="F182" s="70">
        <v>-212.83</v>
      </c>
      <c r="G182" s="70">
        <v>-250263.85</v>
      </c>
      <c r="H182" s="70">
        <v>170263.85</v>
      </c>
      <c r="I182" s="103">
        <v>-80000</v>
      </c>
      <c r="J182" s="89">
        <f>I182*DATAARK!$B$3</f>
        <v>-80000</v>
      </c>
      <c r="K182" s="89">
        <f>J182*DATAARK!$C$3</f>
        <v>-80000</v>
      </c>
      <c r="N182" s="40">
        <f t="shared" si="5"/>
        <v>0</v>
      </c>
    </row>
    <row r="183" spans="1:14" x14ac:dyDescent="0.25">
      <c r="A183" s="42" t="s">
        <v>310</v>
      </c>
      <c r="B183" s="42" t="s">
        <v>311</v>
      </c>
      <c r="J183" s="89">
        <f>I183*DATAARK!$B$3</f>
        <v>0</v>
      </c>
      <c r="K183" s="89">
        <f>J183*DATAARK!$C$3</f>
        <v>0</v>
      </c>
      <c r="N183" s="40">
        <f t="shared" si="5"/>
        <v>0</v>
      </c>
    </row>
    <row r="184" spans="1:14" x14ac:dyDescent="0.25">
      <c r="A184" s="42" t="s">
        <v>312</v>
      </c>
      <c r="B184" s="42" t="s">
        <v>313</v>
      </c>
      <c r="C184" s="70">
        <v>-82805.14</v>
      </c>
      <c r="D184" s="70">
        <v>-145166.67000000001</v>
      </c>
      <c r="E184" s="70">
        <v>42.96</v>
      </c>
      <c r="F184" s="70">
        <v>57.04</v>
      </c>
      <c r="G184" s="70">
        <v>-62361.53</v>
      </c>
      <c r="H184" s="70">
        <v>-145166.67000000001</v>
      </c>
      <c r="I184" s="103">
        <v>-145166.67000000001</v>
      </c>
      <c r="J184" s="89">
        <f>I184*DATAARK!$B$3</f>
        <v>-145166.67000000001</v>
      </c>
      <c r="K184" s="89">
        <f>J184*DATAARK!$C$3</f>
        <v>-145166.67000000001</v>
      </c>
      <c r="N184" s="40">
        <f t="shared" si="5"/>
        <v>0</v>
      </c>
    </row>
    <row r="185" spans="1:14" x14ac:dyDescent="0.25">
      <c r="A185" s="42" t="s">
        <v>314</v>
      </c>
      <c r="B185" s="42" t="s">
        <v>315</v>
      </c>
      <c r="C185" s="70">
        <v>-5298.15</v>
      </c>
      <c r="D185" s="70">
        <v>-75000</v>
      </c>
      <c r="E185" s="70">
        <v>92.94</v>
      </c>
      <c r="F185" s="70">
        <v>7.06</v>
      </c>
      <c r="G185" s="70">
        <v>-69701.850000000006</v>
      </c>
      <c r="H185" s="70">
        <v>-75000</v>
      </c>
      <c r="I185" s="103">
        <v>-75000</v>
      </c>
      <c r="J185" s="89">
        <f>I185*DATAARK!$B$3</f>
        <v>-75000</v>
      </c>
      <c r="K185" s="89">
        <f>J185*DATAARK!$C$3</f>
        <v>-75000</v>
      </c>
      <c r="N185" s="40">
        <f t="shared" si="5"/>
        <v>0</v>
      </c>
    </row>
    <row r="186" spans="1:14" x14ac:dyDescent="0.25">
      <c r="A186" s="42" t="s">
        <v>316</v>
      </c>
      <c r="B186" s="42" t="s">
        <v>317</v>
      </c>
      <c r="C186" s="70">
        <v>-16332.57</v>
      </c>
      <c r="D186" s="70">
        <v>-40000</v>
      </c>
      <c r="E186" s="70">
        <v>59.17</v>
      </c>
      <c r="F186" s="70">
        <v>40.83</v>
      </c>
      <c r="G186" s="70">
        <v>-23667.43</v>
      </c>
      <c r="H186" s="70">
        <v>-40000</v>
      </c>
      <c r="I186" s="103">
        <v>-40000</v>
      </c>
      <c r="J186" s="89">
        <f>I186*DATAARK!$B$3</f>
        <v>-40000</v>
      </c>
      <c r="K186" s="89">
        <f>J186*DATAARK!$C$3</f>
        <v>-40000</v>
      </c>
      <c r="N186" s="40">
        <f t="shared" si="5"/>
        <v>0</v>
      </c>
    </row>
    <row r="187" spans="1:14" x14ac:dyDescent="0.25">
      <c r="A187" s="42" t="s">
        <v>318</v>
      </c>
      <c r="B187" s="42" t="s">
        <v>319</v>
      </c>
      <c r="C187" s="70">
        <v>-43980.28</v>
      </c>
      <c r="D187" s="70">
        <v>-500688</v>
      </c>
      <c r="E187" s="70">
        <v>91.22</v>
      </c>
      <c r="F187" s="70">
        <v>8.7799999999999994</v>
      </c>
      <c r="G187" s="70">
        <v>-456707.72</v>
      </c>
      <c r="H187" s="70">
        <v>-500688</v>
      </c>
      <c r="I187" s="103">
        <v>-250000</v>
      </c>
      <c r="J187" s="89">
        <f>I187*DATAARK!$B$3</f>
        <v>-250000</v>
      </c>
      <c r="K187" s="89">
        <f>J187*DATAARK!$C$3</f>
        <v>-250000</v>
      </c>
      <c r="N187" s="40">
        <f t="shared" si="5"/>
        <v>0</v>
      </c>
    </row>
    <row r="188" spans="1:14" x14ac:dyDescent="0.25">
      <c r="A188" s="42" t="s">
        <v>320</v>
      </c>
      <c r="B188" s="42" t="s">
        <v>321</v>
      </c>
      <c r="C188" s="70">
        <v>-17052.78</v>
      </c>
      <c r="D188" s="70">
        <v>-116133.33</v>
      </c>
      <c r="E188" s="70">
        <v>85.32</v>
      </c>
      <c r="F188" s="70">
        <v>14.68</v>
      </c>
      <c r="G188" s="70">
        <v>-99080.55</v>
      </c>
      <c r="H188" s="70">
        <v>-116133.33</v>
      </c>
      <c r="I188" s="103">
        <v>-80500</v>
      </c>
      <c r="J188" s="89">
        <f>I188*DATAARK!$B$3</f>
        <v>-80500</v>
      </c>
      <c r="K188" s="89">
        <f>J188*DATAARK!$C$3</f>
        <v>-80500</v>
      </c>
      <c r="N188" s="40">
        <f t="shared" si="5"/>
        <v>0</v>
      </c>
    </row>
    <row r="189" spans="1:14" x14ac:dyDescent="0.25">
      <c r="A189" s="42" t="s">
        <v>322</v>
      </c>
      <c r="B189" s="42" t="s">
        <v>323</v>
      </c>
      <c r="C189" s="70">
        <v>-575152.30000000005</v>
      </c>
      <c r="D189" s="70">
        <v>-1200000</v>
      </c>
      <c r="E189" s="70">
        <v>52.07</v>
      </c>
      <c r="F189" s="70">
        <v>47.93</v>
      </c>
      <c r="G189" s="70">
        <v>-624847.69999999995</v>
      </c>
      <c r="H189" s="70">
        <v>-1200000</v>
      </c>
      <c r="I189" s="103">
        <v>-1500000</v>
      </c>
      <c r="J189" s="89">
        <f>I189*DATAARK!$B$3</f>
        <v>-1500000</v>
      </c>
      <c r="K189" s="89">
        <f>J189*DATAARK!$C$3</f>
        <v>-1500000</v>
      </c>
      <c r="N189" s="40">
        <f t="shared" si="5"/>
        <v>0</v>
      </c>
    </row>
    <row r="190" spans="1:14" x14ac:dyDescent="0.25">
      <c r="A190" s="42" t="s">
        <v>324</v>
      </c>
      <c r="B190" s="42" t="s">
        <v>325</v>
      </c>
      <c r="C190" s="70">
        <v>-6960</v>
      </c>
      <c r="G190" s="70">
        <v>6960</v>
      </c>
      <c r="H190" s="70">
        <v>-6960</v>
      </c>
      <c r="I190" s="103">
        <f>C190</f>
        <v>-6960</v>
      </c>
      <c r="J190" s="89">
        <f>I190*DATAARK!$B$3</f>
        <v>-6960</v>
      </c>
      <c r="K190" s="89">
        <f>J190*DATAARK!$C$3</f>
        <v>-6960</v>
      </c>
      <c r="N190" s="40">
        <f t="shared" si="5"/>
        <v>0</v>
      </c>
    </row>
    <row r="191" spans="1:14" x14ac:dyDescent="0.25">
      <c r="A191" s="42" t="s">
        <v>326</v>
      </c>
      <c r="B191" s="42" t="s">
        <v>327</v>
      </c>
      <c r="C191" s="70">
        <v>-3053</v>
      </c>
      <c r="G191" s="70">
        <v>3053</v>
      </c>
      <c r="H191" s="70">
        <v>-3053</v>
      </c>
      <c r="I191" s="103">
        <v>0</v>
      </c>
      <c r="J191" s="89">
        <f>I191*DATAARK!$B$3</f>
        <v>0</v>
      </c>
      <c r="K191" s="89">
        <f>J191*DATAARK!$C$3</f>
        <v>0</v>
      </c>
      <c r="N191" s="40">
        <f t="shared" si="5"/>
        <v>0</v>
      </c>
    </row>
    <row r="192" spans="1:14" x14ac:dyDescent="0.25">
      <c r="A192" s="42" t="s">
        <v>328</v>
      </c>
      <c r="B192" s="42" t="s">
        <v>329</v>
      </c>
      <c r="D192" s="70">
        <v>-250000</v>
      </c>
      <c r="E192" s="70">
        <v>100</v>
      </c>
      <c r="G192" s="70">
        <v>-250000</v>
      </c>
      <c r="H192" s="70">
        <v>-250000</v>
      </c>
      <c r="J192" s="89">
        <f>I192*DATAARK!$B$3</f>
        <v>0</v>
      </c>
      <c r="K192" s="89">
        <f>J192*DATAARK!$C$3</f>
        <v>0</v>
      </c>
      <c r="N192" s="40">
        <f t="shared" si="5"/>
        <v>0</v>
      </c>
    </row>
    <row r="193" spans="1:14" x14ac:dyDescent="0.25">
      <c r="A193" s="42" t="s">
        <v>330</v>
      </c>
      <c r="B193" s="42" t="s">
        <v>331</v>
      </c>
      <c r="C193" s="70">
        <v>-22220.15</v>
      </c>
      <c r="D193" s="70">
        <v>-200000</v>
      </c>
      <c r="E193" s="70">
        <v>88.89</v>
      </c>
      <c r="F193" s="70">
        <v>11.11</v>
      </c>
      <c r="G193" s="70">
        <v>-177779.85</v>
      </c>
      <c r="H193" s="70">
        <v>-200000</v>
      </c>
      <c r="I193" s="103">
        <v>-200000</v>
      </c>
      <c r="J193" s="89">
        <f>I193*DATAARK!$B$3</f>
        <v>-200000</v>
      </c>
      <c r="K193" s="89">
        <f>J193*DATAARK!$C$3</f>
        <v>-200000</v>
      </c>
      <c r="N193" s="40">
        <f t="shared" si="5"/>
        <v>0</v>
      </c>
    </row>
    <row r="194" spans="1:14" x14ac:dyDescent="0.25">
      <c r="A194" s="42" t="s">
        <v>332</v>
      </c>
      <c r="B194" s="42" t="s">
        <v>333</v>
      </c>
      <c r="J194" s="89">
        <f>I194*DATAARK!$B$3</f>
        <v>0</v>
      </c>
      <c r="K194" s="89">
        <f>J194*DATAARK!$C$3</f>
        <v>0</v>
      </c>
      <c r="N194" s="40">
        <f t="shared" si="5"/>
        <v>0</v>
      </c>
    </row>
    <row r="195" spans="1:14" x14ac:dyDescent="0.25">
      <c r="A195" s="42" t="s">
        <v>334</v>
      </c>
      <c r="B195" s="42" t="s">
        <v>335</v>
      </c>
      <c r="D195" s="70">
        <v>1</v>
      </c>
      <c r="E195" s="70">
        <v>100</v>
      </c>
      <c r="G195" s="70">
        <v>1</v>
      </c>
      <c r="H195" s="70">
        <v>1</v>
      </c>
      <c r="J195" s="89">
        <f>I195*DATAARK!$B$3</f>
        <v>0</v>
      </c>
      <c r="K195" s="89">
        <f>J195*DATAARK!$C$3</f>
        <v>0</v>
      </c>
      <c r="N195" s="40">
        <f t="shared" si="5"/>
        <v>0</v>
      </c>
    </row>
    <row r="196" spans="1:14" x14ac:dyDescent="0.25">
      <c r="A196" s="42" t="s">
        <v>336</v>
      </c>
      <c r="B196" s="42" t="s">
        <v>337</v>
      </c>
      <c r="J196" s="89">
        <f>I196*DATAARK!$B$3</f>
        <v>0</v>
      </c>
      <c r="K196" s="89">
        <f>J196*DATAARK!$C$3</f>
        <v>0</v>
      </c>
      <c r="N196" s="40">
        <f t="shared" si="5"/>
        <v>0</v>
      </c>
    </row>
    <row r="197" spans="1:14" x14ac:dyDescent="0.25">
      <c r="A197" s="42" t="s">
        <v>338</v>
      </c>
      <c r="B197" s="42" t="s">
        <v>339</v>
      </c>
      <c r="J197" s="89">
        <f>I197*DATAARK!$B$3</f>
        <v>0</v>
      </c>
      <c r="K197" s="89">
        <f>J197*DATAARK!$C$3</f>
        <v>0</v>
      </c>
      <c r="N197" s="40">
        <f t="shared" si="5"/>
        <v>0</v>
      </c>
    </row>
    <row r="198" spans="1:14" x14ac:dyDescent="0.25">
      <c r="A198" s="43" t="s">
        <v>340</v>
      </c>
      <c r="B198" s="43" t="s">
        <v>341</v>
      </c>
      <c r="C198" s="71">
        <v>-3975625.61</v>
      </c>
      <c r="D198" s="71">
        <v>-8767358.3300000001</v>
      </c>
      <c r="E198" s="71">
        <v>54.65</v>
      </c>
      <c r="F198" s="71">
        <v>45.35</v>
      </c>
      <c r="G198" s="71">
        <v>-4791732.72</v>
      </c>
      <c r="H198" s="71">
        <v>-9840222.4541999996</v>
      </c>
      <c r="I198" s="90">
        <f>SUM(I139:I197)</f>
        <v>-7035144.8911999995</v>
      </c>
      <c r="J198" s="127">
        <f>SUM(J139:J197)</f>
        <v>-7895976.7960749995</v>
      </c>
      <c r="K198" s="90">
        <f>SUM(K139:K197)</f>
        <v>-7052573.2872049995</v>
      </c>
      <c r="N198" s="40">
        <f t="shared" si="5"/>
        <v>0</v>
      </c>
    </row>
    <row r="199" spans="1:14" x14ac:dyDescent="0.25">
      <c r="A199" s="42" t="s">
        <v>12</v>
      </c>
      <c r="B199" s="42" t="s">
        <v>12</v>
      </c>
      <c r="N199" s="40">
        <f t="shared" si="5"/>
        <v>0</v>
      </c>
    </row>
    <row r="200" spans="1:14" x14ac:dyDescent="0.25">
      <c r="A200" s="43" t="s">
        <v>342</v>
      </c>
      <c r="B200" s="43" t="s">
        <v>343</v>
      </c>
      <c r="C200" s="71"/>
      <c r="D200" s="71"/>
      <c r="E200" s="71"/>
      <c r="F200" s="71"/>
      <c r="G200" s="71"/>
      <c r="H200" s="71"/>
      <c r="I200" s="90"/>
      <c r="J200" s="127"/>
      <c r="K200" s="90"/>
      <c r="N200" s="40">
        <f t="shared" si="5"/>
        <v>0</v>
      </c>
    </row>
    <row r="201" spans="1:14" x14ac:dyDescent="0.25">
      <c r="A201" s="42" t="s">
        <v>344</v>
      </c>
      <c r="B201" s="42" t="s">
        <v>345</v>
      </c>
      <c r="J201" s="89">
        <f>I201*DATAARK!$B$3</f>
        <v>0</v>
      </c>
      <c r="K201" s="89">
        <f>J201*DATAARK!$C$3</f>
        <v>0</v>
      </c>
      <c r="N201" s="40">
        <f t="shared" si="5"/>
        <v>0</v>
      </c>
    </row>
    <row r="202" spans="1:14" x14ac:dyDescent="0.25">
      <c r="A202" s="42" t="s">
        <v>346</v>
      </c>
      <c r="B202" s="42" t="s">
        <v>347</v>
      </c>
      <c r="J202" s="89">
        <f>I202*DATAARK!$B$3</f>
        <v>0</v>
      </c>
      <c r="K202" s="89">
        <f>J202*DATAARK!$C$3</f>
        <v>0</v>
      </c>
      <c r="N202" s="40">
        <f t="shared" si="5"/>
        <v>0</v>
      </c>
    </row>
    <row r="203" spans="1:14" x14ac:dyDescent="0.25">
      <c r="A203" s="42" t="s">
        <v>348</v>
      </c>
      <c r="B203" s="42" t="s">
        <v>349</v>
      </c>
      <c r="J203" s="89">
        <f>I203*DATAARK!$B$3</f>
        <v>0</v>
      </c>
      <c r="K203" s="89">
        <f>J203*DATAARK!$C$3</f>
        <v>0</v>
      </c>
      <c r="N203" s="40">
        <f t="shared" si="5"/>
        <v>0</v>
      </c>
    </row>
    <row r="204" spans="1:14" x14ac:dyDescent="0.25">
      <c r="A204" s="42" t="s">
        <v>350</v>
      </c>
      <c r="B204" s="42" t="s">
        <v>351</v>
      </c>
      <c r="J204" s="89">
        <f>I204*DATAARK!$B$3</f>
        <v>0</v>
      </c>
      <c r="K204" s="89">
        <f>J204*DATAARK!$C$3</f>
        <v>0</v>
      </c>
      <c r="N204" s="40">
        <f t="shared" ref="N204:N245" si="6">IF(J204&gt;0,1,0)</f>
        <v>0</v>
      </c>
    </row>
    <row r="205" spans="1:14" x14ac:dyDescent="0.25">
      <c r="A205" s="42" t="s">
        <v>352</v>
      </c>
      <c r="B205" s="42" t="s">
        <v>353</v>
      </c>
      <c r="J205" s="89">
        <f>I205*DATAARK!$B$3</f>
        <v>0</v>
      </c>
      <c r="K205" s="89">
        <f>J205*DATAARK!$C$3</f>
        <v>0</v>
      </c>
      <c r="N205" s="40">
        <f t="shared" si="6"/>
        <v>0</v>
      </c>
    </row>
    <row r="206" spans="1:14" x14ac:dyDescent="0.25">
      <c r="A206" s="42" t="s">
        <v>354</v>
      </c>
      <c r="B206" s="42" t="s">
        <v>355</v>
      </c>
      <c r="C206" s="70">
        <v>-1665</v>
      </c>
      <c r="G206" s="70">
        <v>1665</v>
      </c>
      <c r="H206" s="70">
        <v>-1665</v>
      </c>
      <c r="J206" s="89">
        <f>I206*DATAARK!$B$3</f>
        <v>0</v>
      </c>
      <c r="K206" s="89">
        <f>J206*DATAARK!$C$3</f>
        <v>0</v>
      </c>
      <c r="N206" s="40">
        <f t="shared" si="6"/>
        <v>0</v>
      </c>
    </row>
    <row r="207" spans="1:14" x14ac:dyDescent="0.25">
      <c r="A207" s="42" t="s">
        <v>356</v>
      </c>
      <c r="B207" s="42" t="s">
        <v>357</v>
      </c>
      <c r="J207" s="89">
        <f>I207*DATAARK!$B$3</f>
        <v>0</v>
      </c>
      <c r="K207" s="89">
        <f>J207*DATAARK!$C$3</f>
        <v>0</v>
      </c>
      <c r="N207" s="40">
        <f t="shared" si="6"/>
        <v>0</v>
      </c>
    </row>
    <row r="208" spans="1:14" x14ac:dyDescent="0.25">
      <c r="A208" s="42" t="s">
        <v>358</v>
      </c>
      <c r="B208" s="42" t="s">
        <v>359</v>
      </c>
      <c r="J208" s="89">
        <f>I208*DATAARK!$B$3</f>
        <v>0</v>
      </c>
      <c r="K208" s="89">
        <f>J208*DATAARK!$C$3</f>
        <v>0</v>
      </c>
      <c r="N208" s="40">
        <f t="shared" si="6"/>
        <v>0</v>
      </c>
    </row>
    <row r="209" spans="1:14" x14ac:dyDescent="0.25">
      <c r="A209" s="43" t="s">
        <v>360</v>
      </c>
      <c r="B209" s="43" t="s">
        <v>361</v>
      </c>
      <c r="C209" s="71">
        <v>-1665</v>
      </c>
      <c r="D209" s="71"/>
      <c r="E209" s="71"/>
      <c r="F209" s="71"/>
      <c r="G209" s="71">
        <v>1665</v>
      </c>
      <c r="H209" s="71">
        <v>-1665</v>
      </c>
      <c r="I209" s="90">
        <f>SUM(I201:I208)</f>
        <v>0</v>
      </c>
      <c r="J209" s="127">
        <f>SUM(J201:J208)</f>
        <v>0</v>
      </c>
      <c r="K209" s="90">
        <f>SUM(K201:K208)</f>
        <v>0</v>
      </c>
      <c r="N209" s="40">
        <f t="shared" si="6"/>
        <v>0</v>
      </c>
    </row>
    <row r="210" spans="1:14" x14ac:dyDescent="0.25">
      <c r="A210" s="42" t="s">
        <v>12</v>
      </c>
      <c r="B210" s="42" t="s">
        <v>12</v>
      </c>
      <c r="N210" s="40">
        <f t="shared" si="6"/>
        <v>0</v>
      </c>
    </row>
    <row r="211" spans="1:14" x14ac:dyDescent="0.25">
      <c r="A211" s="43" t="s">
        <v>362</v>
      </c>
      <c r="B211" s="43" t="s">
        <v>40</v>
      </c>
      <c r="C211" s="71"/>
      <c r="D211" s="71"/>
      <c r="E211" s="71"/>
      <c r="F211" s="71"/>
      <c r="G211" s="71"/>
      <c r="H211" s="71"/>
      <c r="I211" s="90"/>
      <c r="J211" s="127"/>
      <c r="K211" s="90"/>
      <c r="N211" s="40">
        <f t="shared" si="6"/>
        <v>0</v>
      </c>
    </row>
    <row r="212" spans="1:14" x14ac:dyDescent="0.25">
      <c r="A212" s="42" t="s">
        <v>363</v>
      </c>
      <c r="B212" s="42" t="s">
        <v>364</v>
      </c>
      <c r="J212" s="89">
        <f>I212*DATAARK!$B$3</f>
        <v>0</v>
      </c>
      <c r="K212" s="89">
        <f>J212*DATAARK!$C$3</f>
        <v>0</v>
      </c>
      <c r="N212" s="40">
        <f t="shared" si="6"/>
        <v>0</v>
      </c>
    </row>
    <row r="213" spans="1:14" x14ac:dyDescent="0.25">
      <c r="A213" s="42" t="s">
        <v>365</v>
      </c>
      <c r="B213" s="42" t="s">
        <v>366</v>
      </c>
      <c r="D213" s="70">
        <v>-161448</v>
      </c>
      <c r="E213" s="70">
        <v>100</v>
      </c>
      <c r="G213" s="70">
        <v>-161448</v>
      </c>
      <c r="H213" s="70">
        <v>0</v>
      </c>
      <c r="I213" s="103">
        <v>0</v>
      </c>
      <c r="J213" s="89">
        <f>I213*DATAARK!$B$3</f>
        <v>0</v>
      </c>
      <c r="K213" s="89">
        <f>J213*DATAARK!$C$3</f>
        <v>0</v>
      </c>
      <c r="N213" s="40">
        <f t="shared" si="6"/>
        <v>0</v>
      </c>
    </row>
    <row r="214" spans="1:14" x14ac:dyDescent="0.25">
      <c r="A214" s="42" t="s">
        <v>367</v>
      </c>
      <c r="B214" s="42" t="s">
        <v>368</v>
      </c>
      <c r="J214" s="89">
        <f>I214*DATAARK!$B$3</f>
        <v>0</v>
      </c>
      <c r="K214" s="89">
        <f>J214*DATAARK!$C$3</f>
        <v>0</v>
      </c>
      <c r="N214" s="40">
        <f t="shared" si="6"/>
        <v>0</v>
      </c>
    </row>
    <row r="215" spans="1:14" x14ac:dyDescent="0.25">
      <c r="A215" s="42" t="s">
        <v>369</v>
      </c>
      <c r="B215" s="42" t="s">
        <v>370</v>
      </c>
      <c r="C215" s="70">
        <v>-2563.59</v>
      </c>
      <c r="G215" s="70">
        <v>2563.59</v>
      </c>
      <c r="H215" s="70">
        <v>-2563.59</v>
      </c>
      <c r="J215" s="89">
        <f>I215*DATAARK!$B$3</f>
        <v>0</v>
      </c>
      <c r="K215" s="89">
        <f>J215*DATAARK!$C$3</f>
        <v>0</v>
      </c>
      <c r="N215" s="40">
        <f t="shared" si="6"/>
        <v>0</v>
      </c>
    </row>
    <row r="216" spans="1:14" x14ac:dyDescent="0.25">
      <c r="A216" s="42" t="s">
        <v>371</v>
      </c>
      <c r="B216" s="42" t="s">
        <v>372</v>
      </c>
      <c r="J216" s="89">
        <f>I216*DATAARK!$B$3</f>
        <v>0</v>
      </c>
      <c r="K216" s="89">
        <f>J216*DATAARK!$C$3</f>
        <v>0</v>
      </c>
      <c r="N216" s="40">
        <f t="shared" si="6"/>
        <v>0</v>
      </c>
    </row>
    <row r="217" spans="1:14" x14ac:dyDescent="0.25">
      <c r="A217" s="42" t="s">
        <v>373</v>
      </c>
      <c r="B217" s="42" t="s">
        <v>374</v>
      </c>
      <c r="J217" s="89">
        <f>I217*DATAARK!$B$3</f>
        <v>0</v>
      </c>
      <c r="K217" s="89">
        <f>J217*DATAARK!$C$3</f>
        <v>0</v>
      </c>
      <c r="N217" s="40">
        <f t="shared" si="6"/>
        <v>0</v>
      </c>
    </row>
    <row r="218" spans="1:14" x14ac:dyDescent="0.25">
      <c r="A218" s="42" t="s">
        <v>375</v>
      </c>
      <c r="B218" s="42" t="s">
        <v>376</v>
      </c>
      <c r="J218" s="89">
        <f>I218*DATAARK!$B$3</f>
        <v>0</v>
      </c>
      <c r="K218" s="89">
        <f>J218*DATAARK!$C$3</f>
        <v>0</v>
      </c>
      <c r="N218" s="40">
        <f t="shared" si="6"/>
        <v>0</v>
      </c>
    </row>
    <row r="219" spans="1:14" x14ac:dyDescent="0.25">
      <c r="A219" s="43" t="s">
        <v>377</v>
      </c>
      <c r="B219" s="43" t="s">
        <v>378</v>
      </c>
      <c r="C219" s="71">
        <v>-2563.59</v>
      </c>
      <c r="D219" s="71">
        <v>-161448</v>
      </c>
      <c r="E219" s="71">
        <v>98.41</v>
      </c>
      <c r="F219" s="71">
        <v>1.59</v>
      </c>
      <c r="G219" s="71">
        <v>-158884.41</v>
      </c>
      <c r="H219" s="71">
        <v>-2563.59</v>
      </c>
      <c r="I219" s="90">
        <f>SUM(I212:I218)</f>
        <v>0</v>
      </c>
      <c r="J219" s="127">
        <f>SUM(J212:J218)</f>
        <v>0</v>
      </c>
      <c r="K219" s="90">
        <f>SUM(K212:K218)</f>
        <v>0</v>
      </c>
      <c r="N219" s="40">
        <f t="shared" si="6"/>
        <v>0</v>
      </c>
    </row>
    <row r="220" spans="1:14" x14ac:dyDescent="0.25">
      <c r="A220" s="42" t="s">
        <v>12</v>
      </c>
      <c r="B220" s="42" t="s">
        <v>12</v>
      </c>
      <c r="N220" s="40">
        <f t="shared" si="6"/>
        <v>0</v>
      </c>
    </row>
    <row r="221" spans="1:14" x14ac:dyDescent="0.25">
      <c r="A221" s="43" t="s">
        <v>379</v>
      </c>
      <c r="B221" s="43" t="s">
        <v>380</v>
      </c>
      <c r="C221" s="71"/>
      <c r="D221" s="71"/>
      <c r="E221" s="71"/>
      <c r="F221" s="71"/>
      <c r="G221" s="71"/>
      <c r="H221" s="71"/>
      <c r="I221" s="90"/>
      <c r="J221" s="127"/>
      <c r="K221" s="90"/>
      <c r="N221" s="40">
        <f t="shared" si="6"/>
        <v>0</v>
      </c>
    </row>
    <row r="222" spans="1:14" x14ac:dyDescent="0.25">
      <c r="A222" s="42" t="s">
        <v>381</v>
      </c>
      <c r="B222" s="42" t="s">
        <v>380</v>
      </c>
      <c r="J222" s="89">
        <f>I222*DATAARK!$B$3</f>
        <v>0</v>
      </c>
      <c r="K222" s="89">
        <f>J222*DATAARK!$C$3</f>
        <v>0</v>
      </c>
      <c r="N222" s="40">
        <f t="shared" si="6"/>
        <v>0</v>
      </c>
    </row>
    <row r="223" spans="1:14" x14ac:dyDescent="0.25">
      <c r="A223" s="43" t="s">
        <v>382</v>
      </c>
      <c r="B223" s="43" t="s">
        <v>383</v>
      </c>
      <c r="C223" s="71"/>
      <c r="D223" s="71"/>
      <c r="E223" s="71"/>
      <c r="F223" s="71"/>
      <c r="G223" s="71"/>
      <c r="H223" s="71">
        <v>0</v>
      </c>
      <c r="I223" s="90">
        <f>I222</f>
        <v>0</v>
      </c>
      <c r="J223" s="127">
        <f>SUM(J222)</f>
        <v>0</v>
      </c>
      <c r="K223" s="90">
        <f>SUM(K222)</f>
        <v>0</v>
      </c>
      <c r="N223" s="40">
        <f t="shared" si="6"/>
        <v>0</v>
      </c>
    </row>
    <row r="224" spans="1:14" x14ac:dyDescent="0.25">
      <c r="A224" s="42" t="s">
        <v>12</v>
      </c>
      <c r="B224" s="42" t="s">
        <v>12</v>
      </c>
      <c r="N224" s="40">
        <f t="shared" si="6"/>
        <v>0</v>
      </c>
    </row>
    <row r="225" spans="1:14" x14ac:dyDescent="0.25">
      <c r="A225" s="43" t="s">
        <v>384</v>
      </c>
      <c r="B225" s="43" t="s">
        <v>385</v>
      </c>
      <c r="C225" s="71"/>
      <c r="D225" s="71"/>
      <c r="E225" s="71"/>
      <c r="F225" s="71"/>
      <c r="G225" s="71"/>
      <c r="H225" s="71"/>
      <c r="I225" s="90"/>
      <c r="J225" s="127"/>
      <c r="K225" s="90"/>
      <c r="N225" s="40">
        <f t="shared" si="6"/>
        <v>0</v>
      </c>
    </row>
    <row r="226" spans="1:14" x14ac:dyDescent="0.25">
      <c r="A226" s="42" t="s">
        <v>386</v>
      </c>
      <c r="B226" s="42" t="s">
        <v>385</v>
      </c>
      <c r="J226" s="89">
        <f>I226*DATAARK!$B$3</f>
        <v>0</v>
      </c>
      <c r="K226" s="89">
        <f>J226*DATAARK!$C$3</f>
        <v>0</v>
      </c>
      <c r="N226" s="40">
        <f t="shared" si="6"/>
        <v>0</v>
      </c>
    </row>
    <row r="227" spans="1:14" x14ac:dyDescent="0.25">
      <c r="A227" s="43" t="s">
        <v>387</v>
      </c>
      <c r="B227" s="43" t="s">
        <v>388</v>
      </c>
      <c r="C227" s="71"/>
      <c r="D227" s="71"/>
      <c r="E227" s="71"/>
      <c r="F227" s="71"/>
      <c r="G227" s="71"/>
      <c r="H227" s="71">
        <v>0</v>
      </c>
      <c r="I227" s="90">
        <f>I226</f>
        <v>0</v>
      </c>
      <c r="J227" s="127">
        <f>J226</f>
        <v>0</v>
      </c>
      <c r="K227" s="90">
        <f>K226</f>
        <v>0</v>
      </c>
      <c r="N227" s="40">
        <f t="shared" si="6"/>
        <v>0</v>
      </c>
    </row>
    <row r="228" spans="1:14" x14ac:dyDescent="0.25">
      <c r="A228" s="42" t="s">
        <v>12</v>
      </c>
      <c r="B228" s="42" t="s">
        <v>12</v>
      </c>
      <c r="N228" s="40">
        <f t="shared" si="6"/>
        <v>0</v>
      </c>
    </row>
    <row r="229" spans="1:14" ht="15.75" thickBot="1" x14ac:dyDescent="0.3">
      <c r="A229" s="44" t="s">
        <v>389</v>
      </c>
      <c r="B229" s="44" t="s">
        <v>390</v>
      </c>
      <c r="C229" s="72">
        <v>-894949.66</v>
      </c>
      <c r="D229" s="72">
        <v>2127688.7000000002</v>
      </c>
      <c r="E229" s="72">
        <v>142.06</v>
      </c>
      <c r="F229" s="72">
        <v>-42.06</v>
      </c>
      <c r="G229" s="72">
        <v>3022638.36</v>
      </c>
      <c r="H229" s="72">
        <v>-2464390.8192478716</v>
      </c>
      <c r="I229" s="106">
        <f>I219+I209+I223+I227+I198+I136+I127</f>
        <v>6080798.6937521333</v>
      </c>
      <c r="J229" s="130">
        <f>J227+J223+J219+J209+J198+J136+J127</f>
        <v>2182541.1739250012</v>
      </c>
      <c r="K229" s="106">
        <f>K227+K223+K219+K209+K198+K136+K127</f>
        <v>4033920.6627950035</v>
      </c>
      <c r="N229" s="40">
        <f t="shared" si="6"/>
        <v>1</v>
      </c>
    </row>
    <row r="230" spans="1:14" ht="15.75" thickTop="1" x14ac:dyDescent="0.25">
      <c r="A230" s="42" t="s">
        <v>12</v>
      </c>
      <c r="B230" s="42" t="s">
        <v>12</v>
      </c>
      <c r="N230" s="40">
        <f t="shared" si="6"/>
        <v>0</v>
      </c>
    </row>
    <row r="231" spans="1:14" x14ac:dyDescent="0.25">
      <c r="A231" s="43" t="s">
        <v>391</v>
      </c>
      <c r="B231" s="43" t="s">
        <v>392</v>
      </c>
      <c r="C231" s="71"/>
      <c r="D231" s="71"/>
      <c r="E231" s="71"/>
      <c r="F231" s="71"/>
      <c r="G231" s="71"/>
      <c r="H231" s="71"/>
      <c r="I231" s="90"/>
      <c r="J231" s="127"/>
      <c r="K231" s="90"/>
      <c r="N231" s="40">
        <f t="shared" si="6"/>
        <v>0</v>
      </c>
    </row>
    <row r="232" spans="1:14" x14ac:dyDescent="0.25">
      <c r="A232" s="42" t="s">
        <v>393</v>
      </c>
      <c r="B232" s="42" t="s">
        <v>394</v>
      </c>
      <c r="J232" s="89">
        <f>I232*DATAARK!$B$3</f>
        <v>0</v>
      </c>
      <c r="K232" s="89">
        <f>J232*DATAARK!$C$3</f>
        <v>0</v>
      </c>
      <c r="N232" s="40">
        <f t="shared" si="6"/>
        <v>0</v>
      </c>
    </row>
    <row r="233" spans="1:14" x14ac:dyDescent="0.25">
      <c r="A233" s="42" t="s">
        <v>395</v>
      </c>
      <c r="B233" s="42" t="s">
        <v>396</v>
      </c>
      <c r="J233" s="89">
        <f>I233*DATAARK!$B$3</f>
        <v>0</v>
      </c>
      <c r="K233" s="89">
        <f>J233*DATAARK!$C$3</f>
        <v>0</v>
      </c>
      <c r="N233" s="40">
        <f t="shared" si="6"/>
        <v>0</v>
      </c>
    </row>
    <row r="234" spans="1:14" x14ac:dyDescent="0.25">
      <c r="A234" s="42" t="s">
        <v>397</v>
      </c>
      <c r="B234" s="42" t="s">
        <v>398</v>
      </c>
      <c r="J234" s="89">
        <f>I234*DATAARK!$B$3</f>
        <v>0</v>
      </c>
      <c r="K234" s="89">
        <f>J234*DATAARK!$C$3</f>
        <v>0</v>
      </c>
      <c r="N234" s="40">
        <f t="shared" si="6"/>
        <v>0</v>
      </c>
    </row>
    <row r="235" spans="1:14" x14ac:dyDescent="0.25">
      <c r="A235" s="43" t="s">
        <v>399</v>
      </c>
      <c r="B235" s="43" t="s">
        <v>400</v>
      </c>
      <c r="C235" s="71"/>
      <c r="D235" s="71"/>
      <c r="E235" s="71"/>
      <c r="F235" s="71"/>
      <c r="G235" s="71"/>
      <c r="H235" s="71">
        <v>0</v>
      </c>
      <c r="I235" s="90">
        <f>SUM(I232:I234)</f>
        <v>0</v>
      </c>
      <c r="J235" s="127">
        <f>SUM(J232:J234)</f>
        <v>0</v>
      </c>
      <c r="K235" s="90">
        <f>SUM(K232:K234)</f>
        <v>0</v>
      </c>
      <c r="N235" s="40">
        <f t="shared" si="6"/>
        <v>0</v>
      </c>
    </row>
    <row r="236" spans="1:14" x14ac:dyDescent="0.25">
      <c r="A236" s="42" t="s">
        <v>12</v>
      </c>
      <c r="B236" s="42" t="s">
        <v>12</v>
      </c>
      <c r="N236" s="40">
        <f t="shared" si="6"/>
        <v>0</v>
      </c>
    </row>
    <row r="237" spans="1:14" ht="15.75" thickBot="1" x14ac:dyDescent="0.3">
      <c r="A237" s="44" t="s">
        <v>12</v>
      </c>
      <c r="B237" s="44" t="s">
        <v>46</v>
      </c>
      <c r="C237" s="72">
        <v>-894949.66</v>
      </c>
      <c r="D237" s="72">
        <v>2127688.7000000002</v>
      </c>
      <c r="E237" s="72">
        <v>142.06</v>
      </c>
      <c r="F237" s="72">
        <v>-42.06</v>
      </c>
      <c r="G237" s="72">
        <v>3022638.36</v>
      </c>
      <c r="H237" s="72">
        <v>-2464390.8192478716</v>
      </c>
      <c r="I237" s="106">
        <f>I229+I235</f>
        <v>6080798.6937521333</v>
      </c>
      <c r="J237" s="130"/>
      <c r="K237" s="106"/>
      <c r="N237" s="40">
        <f t="shared" si="6"/>
        <v>0</v>
      </c>
    </row>
    <row r="238" spans="1:14" ht="15.75" thickTop="1" x14ac:dyDescent="0.25">
      <c r="A238" s="42" t="s">
        <v>12</v>
      </c>
      <c r="B238" s="42" t="s">
        <v>12</v>
      </c>
      <c r="N238" s="40">
        <f t="shared" si="6"/>
        <v>0</v>
      </c>
    </row>
    <row r="239" spans="1:14" x14ac:dyDescent="0.25">
      <c r="A239" s="42" t="s">
        <v>401</v>
      </c>
      <c r="B239" s="42" t="s">
        <v>402</v>
      </c>
      <c r="J239" s="89">
        <f>I239*DATAARK!$B$3</f>
        <v>0</v>
      </c>
      <c r="K239" s="89">
        <f>J239*DATAARK!$C$3</f>
        <v>0</v>
      </c>
      <c r="N239" s="40">
        <f t="shared" si="6"/>
        <v>0</v>
      </c>
    </row>
    <row r="240" spans="1:14" x14ac:dyDescent="0.25">
      <c r="A240" s="42" t="s">
        <v>403</v>
      </c>
      <c r="B240" s="42" t="s">
        <v>404</v>
      </c>
      <c r="J240" s="89">
        <f>I240*DATAARK!$B$3</f>
        <v>0</v>
      </c>
      <c r="K240" s="89">
        <f>J240*DATAARK!$C$3</f>
        <v>0</v>
      </c>
      <c r="N240" s="40">
        <f t="shared" si="6"/>
        <v>0</v>
      </c>
    </row>
    <row r="241" spans="1:14" x14ac:dyDescent="0.25">
      <c r="A241" s="42" t="s">
        <v>405</v>
      </c>
      <c r="B241" s="42" t="s">
        <v>406</v>
      </c>
      <c r="C241" s="70">
        <v>-622020.93999999994</v>
      </c>
      <c r="D241" s="70">
        <v>-1616471.17</v>
      </c>
      <c r="E241" s="70">
        <v>61.52</v>
      </c>
      <c r="F241" s="70">
        <v>38.479999999999997</v>
      </c>
      <c r="G241" s="70">
        <v>-994450.23</v>
      </c>
      <c r="H241" s="70">
        <v>-1219411.71</v>
      </c>
      <c r="I241" s="103">
        <v>-1219411.71</v>
      </c>
      <c r="J241" s="89">
        <f>I241*DATAARK!$B$3-59064.4-160000</f>
        <v>-1438476.1099999999</v>
      </c>
      <c r="K241" s="89">
        <f>J241*DATAARK!$C$3-59064.4</f>
        <v>-1497540.5099999998</v>
      </c>
      <c r="N241" s="40">
        <f t="shared" si="6"/>
        <v>0</v>
      </c>
    </row>
    <row r="242" spans="1:14" x14ac:dyDescent="0.25">
      <c r="A242" s="42" t="s">
        <v>407</v>
      </c>
      <c r="B242" s="42" t="s">
        <v>408</v>
      </c>
      <c r="J242" s="89">
        <f>I242*DATAARK!$B$3</f>
        <v>0</v>
      </c>
      <c r="K242" s="89">
        <f>J242*DATAARK!$C$3</f>
        <v>0</v>
      </c>
      <c r="N242" s="40">
        <f t="shared" si="6"/>
        <v>0</v>
      </c>
    </row>
    <row r="243" spans="1:14" x14ac:dyDescent="0.25">
      <c r="A243" s="43" t="s">
        <v>409</v>
      </c>
      <c r="B243" s="43" t="s">
        <v>410</v>
      </c>
      <c r="C243" s="71">
        <v>-622020.93999999994</v>
      </c>
      <c r="D243" s="71">
        <v>-1616471.17</v>
      </c>
      <c r="E243" s="71">
        <v>61.52</v>
      </c>
      <c r="F243" s="71">
        <v>38.479999999999997</v>
      </c>
      <c r="G243" s="71">
        <v>-994450.23</v>
      </c>
      <c r="H243" s="71">
        <v>-1219411.71</v>
      </c>
      <c r="I243" s="90">
        <f>SUM(I239:I242)</f>
        <v>-1219411.71</v>
      </c>
      <c r="J243" s="90">
        <f>SUM(J239:J242)</f>
        <v>-1438476.1099999999</v>
      </c>
      <c r="K243" s="90">
        <f>SUM(K239:K242)</f>
        <v>-1497540.5099999998</v>
      </c>
      <c r="N243" s="40">
        <f t="shared" si="6"/>
        <v>0</v>
      </c>
    </row>
    <row r="244" spans="1:14" x14ac:dyDescent="0.25">
      <c r="A244" s="42" t="s">
        <v>12</v>
      </c>
      <c r="B244" s="42" t="s">
        <v>12</v>
      </c>
      <c r="N244" s="40">
        <f t="shared" si="6"/>
        <v>0</v>
      </c>
    </row>
    <row r="245" spans="1:14" ht="15.75" thickBot="1" x14ac:dyDescent="0.3">
      <c r="A245" s="44" t="s">
        <v>411</v>
      </c>
      <c r="B245" s="44" t="s">
        <v>49</v>
      </c>
      <c r="C245" s="72">
        <v>-1516970.6</v>
      </c>
      <c r="D245" s="72">
        <v>511217.53</v>
      </c>
      <c r="E245" s="72">
        <v>396.74</v>
      </c>
      <c r="F245" s="72">
        <v>-296.74</v>
      </c>
      <c r="G245" s="72">
        <v>2028188.13</v>
      </c>
      <c r="H245" s="72">
        <v>-3683802.5292478716</v>
      </c>
      <c r="I245" s="106">
        <f>+I237+I243</f>
        <v>4861386.9837521333</v>
      </c>
      <c r="J245" s="130">
        <f>J229+J235+J243</f>
        <v>744065.0639250013</v>
      </c>
      <c r="K245" s="106">
        <f>K229+K235+K243</f>
        <v>2536380.1527950037</v>
      </c>
      <c r="N245" s="40">
        <f t="shared" si="6"/>
        <v>1</v>
      </c>
    </row>
    <row r="246" spans="1:14" ht="15.75" thickTop="1" x14ac:dyDescent="0.25"/>
    <row r="249" spans="1:14" x14ac:dyDescent="0.25">
      <c r="I249" s="103" t="s">
        <v>499</v>
      </c>
      <c r="J249" s="89">
        <f>(70000+115322+10000)/5</f>
        <v>39064.400000000001</v>
      </c>
      <c r="K249" s="89">
        <f>(70000+115322+10000)/5</f>
        <v>39064.400000000001</v>
      </c>
    </row>
    <row r="250" spans="1:14" x14ac:dyDescent="0.25">
      <c r="I250" s="103" t="s">
        <v>499</v>
      </c>
      <c r="J250" s="89">
        <f>8000000/50</f>
        <v>160000</v>
      </c>
      <c r="K250" s="89">
        <f>8000000/50</f>
        <v>160000</v>
      </c>
    </row>
    <row r="251" spans="1:14" x14ac:dyDescent="0.25">
      <c r="I251" s="103" t="s">
        <v>499</v>
      </c>
      <c r="K251" s="103">
        <f>900000/50</f>
        <v>18000</v>
      </c>
    </row>
  </sheetData>
  <conditionalFormatting sqref="N1:N1048576">
    <cfRule type="cellIs" dxfId="287" priority="48" operator="equal">
      <formula>1</formula>
    </cfRule>
  </conditionalFormatting>
  <conditionalFormatting sqref="N130:N136">
    <cfRule type="cellIs" dxfId="286" priority="47" operator="equal">
      <formula>2</formula>
    </cfRule>
  </conditionalFormatting>
  <conditionalFormatting sqref="N121">
    <cfRule type="cellIs" dxfId="285" priority="46" operator="equal">
      <formula>2</formula>
    </cfRule>
  </conditionalFormatting>
  <conditionalFormatting sqref="N120">
    <cfRule type="cellIs" dxfId="284" priority="45" operator="equal">
      <formula>2</formula>
    </cfRule>
  </conditionalFormatting>
  <conditionalFormatting sqref="N119">
    <cfRule type="cellIs" dxfId="283" priority="44" operator="equal">
      <formula>2</formula>
    </cfRule>
  </conditionalFormatting>
  <conditionalFormatting sqref="N118">
    <cfRule type="cellIs" dxfId="282" priority="43" operator="equal">
      <formula>2</formula>
    </cfRule>
  </conditionalFormatting>
  <conditionalFormatting sqref="N117">
    <cfRule type="cellIs" dxfId="281" priority="42" operator="equal">
      <formula>2</formula>
    </cfRule>
  </conditionalFormatting>
  <conditionalFormatting sqref="N116">
    <cfRule type="cellIs" dxfId="280" priority="41" operator="equal">
      <formula>2</formula>
    </cfRule>
  </conditionalFormatting>
  <conditionalFormatting sqref="N115">
    <cfRule type="cellIs" dxfId="279" priority="40" operator="equal">
      <formula>2</formula>
    </cfRule>
  </conditionalFormatting>
  <conditionalFormatting sqref="N116">
    <cfRule type="cellIs" dxfId="278" priority="39" operator="equal">
      <formula>2</formula>
    </cfRule>
  </conditionalFormatting>
  <conditionalFormatting sqref="N117">
    <cfRule type="cellIs" dxfId="277" priority="38" operator="equal">
      <formula>2</formula>
    </cfRule>
  </conditionalFormatting>
  <conditionalFormatting sqref="N118">
    <cfRule type="cellIs" dxfId="276" priority="37" operator="equal">
      <formula>2</formula>
    </cfRule>
  </conditionalFormatting>
  <conditionalFormatting sqref="N119">
    <cfRule type="cellIs" dxfId="275" priority="36" operator="equal">
      <formula>2</formula>
    </cfRule>
  </conditionalFormatting>
  <conditionalFormatting sqref="N120">
    <cfRule type="cellIs" dxfId="274" priority="35" operator="equal">
      <formula>2</formula>
    </cfRule>
  </conditionalFormatting>
  <conditionalFormatting sqref="N121">
    <cfRule type="cellIs" dxfId="273" priority="34" operator="equal">
      <formula>2</formula>
    </cfRule>
  </conditionalFormatting>
  <conditionalFormatting sqref="N116">
    <cfRule type="cellIs" dxfId="272" priority="33" operator="equal">
      <formula>2</formula>
    </cfRule>
  </conditionalFormatting>
  <conditionalFormatting sqref="N117">
    <cfRule type="cellIs" dxfId="271" priority="32" operator="equal">
      <formula>2</formula>
    </cfRule>
  </conditionalFormatting>
  <conditionalFormatting sqref="N118">
    <cfRule type="cellIs" dxfId="270" priority="31" operator="equal">
      <formula>2</formula>
    </cfRule>
  </conditionalFormatting>
  <conditionalFormatting sqref="N119">
    <cfRule type="cellIs" dxfId="269" priority="30" operator="equal">
      <formula>2</formula>
    </cfRule>
  </conditionalFormatting>
  <conditionalFormatting sqref="N120">
    <cfRule type="cellIs" dxfId="268" priority="29" operator="equal">
      <formula>2</formula>
    </cfRule>
  </conditionalFormatting>
  <conditionalFormatting sqref="N121">
    <cfRule type="cellIs" dxfId="267" priority="28" operator="equal">
      <formula>2</formula>
    </cfRule>
  </conditionalFormatting>
  <conditionalFormatting sqref="N130">
    <cfRule type="cellIs" dxfId="266" priority="27" operator="equal">
      <formula>2</formula>
    </cfRule>
  </conditionalFormatting>
  <conditionalFormatting sqref="N131">
    <cfRule type="cellIs" dxfId="265" priority="26" operator="equal">
      <formula>2</formula>
    </cfRule>
  </conditionalFormatting>
  <conditionalFormatting sqref="N132">
    <cfRule type="cellIs" dxfId="264" priority="25" operator="equal">
      <formula>2</formula>
    </cfRule>
  </conditionalFormatting>
  <conditionalFormatting sqref="N133">
    <cfRule type="cellIs" dxfId="263" priority="24" operator="equal">
      <formula>2</formula>
    </cfRule>
  </conditionalFormatting>
  <conditionalFormatting sqref="N134">
    <cfRule type="cellIs" dxfId="262" priority="23" operator="equal">
      <formula>2</formula>
    </cfRule>
  </conditionalFormatting>
  <conditionalFormatting sqref="N135">
    <cfRule type="cellIs" dxfId="261" priority="22" operator="equal">
      <formula>2</formula>
    </cfRule>
  </conditionalFormatting>
  <conditionalFormatting sqref="N136">
    <cfRule type="cellIs" dxfId="260" priority="21" operator="equal">
      <formula>2</formula>
    </cfRule>
  </conditionalFormatting>
  <conditionalFormatting sqref="N59">
    <cfRule type="cellIs" dxfId="259" priority="20" operator="equal">
      <formula>2</formula>
    </cfRule>
  </conditionalFormatting>
  <conditionalFormatting sqref="N58">
    <cfRule type="cellIs" dxfId="258" priority="19" operator="equal">
      <formula>2</formula>
    </cfRule>
  </conditionalFormatting>
  <conditionalFormatting sqref="N57">
    <cfRule type="cellIs" dxfId="257" priority="18" operator="equal">
      <formula>2</formula>
    </cfRule>
  </conditionalFormatting>
  <conditionalFormatting sqref="N56">
    <cfRule type="cellIs" dxfId="256" priority="17" operator="equal">
      <formula>2</formula>
    </cfRule>
  </conditionalFormatting>
  <conditionalFormatting sqref="N55">
    <cfRule type="cellIs" dxfId="255" priority="16" operator="equal">
      <formula>2</formula>
    </cfRule>
  </conditionalFormatting>
  <conditionalFormatting sqref="N54">
    <cfRule type="cellIs" dxfId="254" priority="15" operator="equal">
      <formula>2</formula>
    </cfRule>
  </conditionalFormatting>
  <conditionalFormatting sqref="N53">
    <cfRule type="cellIs" dxfId="253" priority="14" operator="equal">
      <formula>2</formula>
    </cfRule>
  </conditionalFormatting>
  <conditionalFormatting sqref="N52">
    <cfRule type="cellIs" dxfId="252" priority="13" operator="equal">
      <formula>2</formula>
    </cfRule>
  </conditionalFormatting>
  <conditionalFormatting sqref="N51">
    <cfRule type="cellIs" dxfId="251" priority="12" operator="equal">
      <formula>2</formula>
    </cfRule>
  </conditionalFormatting>
  <conditionalFormatting sqref="N50">
    <cfRule type="cellIs" dxfId="250" priority="11" operator="equal">
      <formula>2</formula>
    </cfRule>
  </conditionalFormatting>
  <conditionalFormatting sqref="N49">
    <cfRule type="cellIs" dxfId="249" priority="10" operator="equal">
      <formula>2</formula>
    </cfRule>
  </conditionalFormatting>
  <conditionalFormatting sqref="N48">
    <cfRule type="cellIs" dxfId="248" priority="9" operator="equal">
      <formula>2</formula>
    </cfRule>
  </conditionalFormatting>
  <conditionalFormatting sqref="N44">
    <cfRule type="cellIs" dxfId="247" priority="8" operator="equal">
      <formula>2</formula>
    </cfRule>
  </conditionalFormatting>
  <conditionalFormatting sqref="N45">
    <cfRule type="cellIs" dxfId="246" priority="7" operator="equal">
      <formula>2</formula>
    </cfRule>
  </conditionalFormatting>
  <conditionalFormatting sqref="N40">
    <cfRule type="cellIs" dxfId="245" priority="6" operator="equal">
      <formula>2</formula>
    </cfRule>
  </conditionalFormatting>
  <conditionalFormatting sqref="N41">
    <cfRule type="cellIs" dxfId="244" priority="5" operator="equal">
      <formula>2</formula>
    </cfRule>
  </conditionalFormatting>
  <conditionalFormatting sqref="N42">
    <cfRule type="cellIs" dxfId="243" priority="4" operator="equal">
      <formula>2</formula>
    </cfRule>
  </conditionalFormatting>
  <conditionalFormatting sqref="N43">
    <cfRule type="cellIs" dxfId="242" priority="3" operator="equal">
      <formula>2</formula>
    </cfRule>
  </conditionalFormatting>
  <conditionalFormatting sqref="N44">
    <cfRule type="cellIs" dxfId="241" priority="2" operator="equal">
      <formula>2</formula>
    </cfRule>
  </conditionalFormatting>
  <conditionalFormatting sqref="N62">
    <cfRule type="cellIs" dxfId="240" priority="1" operator="equal">
      <formula>2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248"/>
  <sheetViews>
    <sheetView topLeftCell="A89" workbookViewId="0">
      <selection activeCell="C93" sqref="C93"/>
    </sheetView>
  </sheetViews>
  <sheetFormatPr defaultRowHeight="15" x14ac:dyDescent="0.25"/>
  <cols>
    <col min="1" max="1" width="17.7109375" bestFit="1" customWidth="1"/>
    <col min="2" max="2" width="48.7109375" bestFit="1" customWidth="1"/>
    <col min="3" max="3" width="12.140625" style="70" bestFit="1" customWidth="1"/>
    <col min="4" max="4" width="12.85546875" style="70" customWidth="1"/>
    <col min="5" max="5" width="10.28515625" style="70" hidden="1" customWidth="1"/>
    <col min="6" max="6" width="19.42578125" style="70" hidden="1" customWidth="1"/>
    <col min="7" max="7" width="12.85546875" style="70" hidden="1" customWidth="1"/>
    <col min="8" max="8" width="12.85546875" style="70" customWidth="1"/>
    <col min="9" max="9" width="12.42578125" style="103" bestFit="1" customWidth="1"/>
    <col min="10" max="10" width="19.42578125" style="89" bestFit="1" customWidth="1"/>
    <col min="11" max="11" width="18" style="103" bestFit="1" customWidth="1"/>
    <col min="14" max="14" width="9.140625" style="40"/>
  </cols>
  <sheetData>
    <row r="1" spans="1:11" x14ac:dyDescent="0.25">
      <c r="A1" s="36" t="s">
        <v>0</v>
      </c>
      <c r="B1" s="35"/>
      <c r="J1" s="103"/>
    </row>
    <row r="2" spans="1:11" x14ac:dyDescent="0.25">
      <c r="A2" s="37" t="s">
        <v>1</v>
      </c>
      <c r="B2" s="37" t="s">
        <v>2</v>
      </c>
      <c r="J2" s="103"/>
    </row>
    <row r="3" spans="1:11" x14ac:dyDescent="0.25">
      <c r="A3" s="37" t="s">
        <v>3</v>
      </c>
      <c r="B3" s="37" t="s">
        <v>4</v>
      </c>
      <c r="J3" s="103"/>
    </row>
    <row r="4" spans="1:11" x14ac:dyDescent="0.25">
      <c r="A4" s="37" t="s">
        <v>412</v>
      </c>
      <c r="B4" s="37" t="s">
        <v>419</v>
      </c>
      <c r="J4" s="103"/>
    </row>
    <row r="5" spans="1:11" x14ac:dyDescent="0.25">
      <c r="J5" s="103"/>
    </row>
    <row r="6" spans="1:11" x14ac:dyDescent="0.25">
      <c r="A6" s="37" t="s">
        <v>5</v>
      </c>
      <c r="B6" s="37" t="s">
        <v>6</v>
      </c>
      <c r="J6" s="103"/>
    </row>
    <row r="7" spans="1:11" x14ac:dyDescent="0.25">
      <c r="J7" s="103"/>
    </row>
    <row r="8" spans="1:11" ht="30" x14ac:dyDescent="0.25">
      <c r="A8" s="35"/>
      <c r="B8" s="35"/>
      <c r="C8" s="71" t="s">
        <v>7</v>
      </c>
      <c r="D8" s="71" t="s">
        <v>8</v>
      </c>
      <c r="E8" s="71" t="s">
        <v>9</v>
      </c>
      <c r="F8" s="71" t="s">
        <v>10</v>
      </c>
      <c r="G8" s="71" t="s">
        <v>11</v>
      </c>
      <c r="H8" s="68" t="s">
        <v>428</v>
      </c>
      <c r="I8" s="118" t="s">
        <v>486</v>
      </c>
      <c r="J8" s="96" t="s">
        <v>472</v>
      </c>
      <c r="K8" s="96" t="s">
        <v>473</v>
      </c>
    </row>
    <row r="9" spans="1:11" x14ac:dyDescent="0.25">
      <c r="A9" s="38" t="s">
        <v>12</v>
      </c>
      <c r="B9" s="38" t="s">
        <v>13</v>
      </c>
      <c r="C9" s="71" t="s">
        <v>478</v>
      </c>
      <c r="D9" s="71">
        <v>2021</v>
      </c>
      <c r="E9" s="71"/>
      <c r="F9" s="71"/>
      <c r="G9" s="71"/>
      <c r="H9" s="68">
        <v>2021</v>
      </c>
      <c r="I9" s="96">
        <v>2021</v>
      </c>
      <c r="J9" s="95">
        <v>2022</v>
      </c>
      <c r="K9" s="96">
        <v>2023</v>
      </c>
    </row>
    <row r="10" spans="1:11" x14ac:dyDescent="0.25">
      <c r="A10" s="37" t="s">
        <v>12</v>
      </c>
      <c r="B10" s="37" t="s">
        <v>12</v>
      </c>
      <c r="I10" s="119"/>
      <c r="J10" s="119"/>
      <c r="K10" s="119"/>
    </row>
    <row r="11" spans="1:11" x14ac:dyDescent="0.25">
      <c r="A11" s="37" t="s">
        <v>14</v>
      </c>
      <c r="B11" s="37" t="s">
        <v>15</v>
      </c>
      <c r="H11" s="70">
        <v>0</v>
      </c>
      <c r="I11" s="119">
        <f>I46</f>
        <v>0</v>
      </c>
      <c r="J11" s="93">
        <f>J46</f>
        <v>0</v>
      </c>
      <c r="K11" s="119">
        <f>K46</f>
        <v>0</v>
      </c>
    </row>
    <row r="12" spans="1:11" x14ac:dyDescent="0.25">
      <c r="A12" s="37" t="s">
        <v>16</v>
      </c>
      <c r="B12" s="37" t="s">
        <v>17</v>
      </c>
      <c r="C12" s="70">
        <v>2767173.9</v>
      </c>
      <c r="D12" s="70">
        <v>3247833</v>
      </c>
      <c r="E12" s="70">
        <v>14.8</v>
      </c>
      <c r="F12" s="70">
        <v>85.2</v>
      </c>
      <c r="G12" s="70">
        <v>480659.1</v>
      </c>
      <c r="H12" s="70">
        <v>3247833</v>
      </c>
      <c r="I12" s="119">
        <f>I59</f>
        <v>3041500</v>
      </c>
      <c r="J12" s="93">
        <f>J59</f>
        <v>3041500</v>
      </c>
      <c r="K12" s="119">
        <f>K59</f>
        <v>3041500</v>
      </c>
    </row>
    <row r="13" spans="1:11" x14ac:dyDescent="0.25">
      <c r="A13" s="37" t="s">
        <v>18</v>
      </c>
      <c r="B13" s="37" t="s">
        <v>19</v>
      </c>
      <c r="H13" s="70">
        <v>0</v>
      </c>
      <c r="I13" s="119">
        <f>I63</f>
        <v>0</v>
      </c>
      <c r="J13" s="93">
        <f>J63</f>
        <v>0</v>
      </c>
      <c r="K13" s="119">
        <f>K63</f>
        <v>0</v>
      </c>
    </row>
    <row r="14" spans="1:11" x14ac:dyDescent="0.25">
      <c r="A14" s="38" t="s">
        <v>20</v>
      </c>
      <c r="B14" s="38" t="s">
        <v>21</v>
      </c>
      <c r="C14" s="71">
        <v>2767173.9</v>
      </c>
      <c r="D14" s="71">
        <v>3247833</v>
      </c>
      <c r="E14" s="71">
        <v>14.8</v>
      </c>
      <c r="F14" s="71">
        <v>85.2</v>
      </c>
      <c r="G14" s="71">
        <v>480659.1</v>
      </c>
      <c r="H14" s="71">
        <v>3247833</v>
      </c>
      <c r="I14" s="96">
        <f>SUM(I11:I13)</f>
        <v>3041500</v>
      </c>
      <c r="J14" s="95">
        <f>SUM(J11:J13)</f>
        <v>3041500</v>
      </c>
      <c r="K14" s="96">
        <f>SUM(K11:K13)</f>
        <v>3041500</v>
      </c>
    </row>
    <row r="15" spans="1:11" x14ac:dyDescent="0.25">
      <c r="A15" s="37" t="s">
        <v>12</v>
      </c>
      <c r="B15" s="37" t="s">
        <v>12</v>
      </c>
      <c r="I15" s="119"/>
      <c r="J15" s="119"/>
      <c r="K15" s="119"/>
    </row>
    <row r="16" spans="1:11" x14ac:dyDescent="0.25">
      <c r="A16" s="38" t="s">
        <v>12</v>
      </c>
      <c r="B16" s="38" t="s">
        <v>22</v>
      </c>
      <c r="C16" s="71"/>
      <c r="D16" s="71"/>
      <c r="E16" s="71"/>
      <c r="F16" s="71"/>
      <c r="G16" s="71"/>
      <c r="H16" s="71"/>
      <c r="I16" s="96"/>
      <c r="J16" s="95"/>
      <c r="K16" s="96"/>
    </row>
    <row r="17" spans="1:11" x14ac:dyDescent="0.25">
      <c r="A17" s="37" t="s">
        <v>23</v>
      </c>
      <c r="B17" s="37" t="s">
        <v>24</v>
      </c>
      <c r="I17" s="119"/>
      <c r="J17" s="93"/>
      <c r="K17" s="119"/>
    </row>
    <row r="18" spans="1:11" x14ac:dyDescent="0.25">
      <c r="A18" s="37" t="s">
        <v>25</v>
      </c>
      <c r="B18" s="37" t="s">
        <v>26</v>
      </c>
      <c r="C18" s="70">
        <v>-5496.4</v>
      </c>
      <c r="G18" s="70">
        <v>5496.4</v>
      </c>
      <c r="H18" s="70">
        <v>-5496.4</v>
      </c>
      <c r="I18" s="119">
        <f>I77</f>
        <v>-5496.4</v>
      </c>
      <c r="J18" s="93">
        <f>J77</f>
        <v>-5496.4</v>
      </c>
      <c r="K18" s="119">
        <f>K77</f>
        <v>-5496.4</v>
      </c>
    </row>
    <row r="19" spans="1:11" x14ac:dyDescent="0.25">
      <c r="A19" s="37" t="s">
        <v>27</v>
      </c>
      <c r="B19" s="37" t="s">
        <v>28</v>
      </c>
      <c r="I19" s="119"/>
      <c r="J19" s="93"/>
      <c r="K19" s="119"/>
    </row>
    <row r="20" spans="1:11" x14ac:dyDescent="0.25">
      <c r="A20" s="37" t="s">
        <v>12</v>
      </c>
      <c r="B20" s="37" t="s">
        <v>12</v>
      </c>
      <c r="I20" s="119"/>
      <c r="J20" s="93"/>
      <c r="K20" s="119"/>
    </row>
    <row r="21" spans="1:11" x14ac:dyDescent="0.25">
      <c r="A21" s="37" t="s">
        <v>29</v>
      </c>
      <c r="B21" s="37" t="s">
        <v>30</v>
      </c>
      <c r="C21" s="70">
        <v>-909562.75</v>
      </c>
      <c r="D21" s="70">
        <v>-1287982.3999999999</v>
      </c>
      <c r="E21" s="70">
        <v>29.38</v>
      </c>
      <c r="F21" s="70">
        <v>70.62</v>
      </c>
      <c r="G21" s="70">
        <v>-378419.65</v>
      </c>
      <c r="H21" s="70">
        <v>-1604499.3900000001</v>
      </c>
      <c r="I21" s="119">
        <f>I123</f>
        <v>-1604499.3900000001</v>
      </c>
      <c r="J21" s="93">
        <f>J123</f>
        <v>-1604499.3900000001</v>
      </c>
      <c r="K21" s="119">
        <f>K123</f>
        <v>-1604499.3900000001</v>
      </c>
    </row>
    <row r="22" spans="1:11" x14ac:dyDescent="0.25">
      <c r="A22" s="38" t="s">
        <v>31</v>
      </c>
      <c r="B22" s="38" t="s">
        <v>32</v>
      </c>
      <c r="C22" s="71">
        <v>-915059.15</v>
      </c>
      <c r="D22" s="71">
        <v>-1287982.3999999999</v>
      </c>
      <c r="E22" s="71">
        <v>28.95</v>
      </c>
      <c r="F22" s="71">
        <v>71.05</v>
      </c>
      <c r="G22" s="71">
        <v>-372923.25</v>
      </c>
      <c r="H22" s="71">
        <v>-1604499.3900000001</v>
      </c>
      <c r="I22" s="96">
        <f>I21</f>
        <v>-1604499.3900000001</v>
      </c>
      <c r="J22" s="95">
        <f>J21</f>
        <v>-1604499.3900000001</v>
      </c>
      <c r="K22" s="96">
        <f>K21</f>
        <v>-1604499.3900000001</v>
      </c>
    </row>
    <row r="23" spans="1:11" x14ac:dyDescent="0.25">
      <c r="A23" s="37" t="s">
        <v>12</v>
      </c>
      <c r="B23" s="37" t="s">
        <v>12</v>
      </c>
      <c r="I23" s="119"/>
      <c r="J23" s="93"/>
      <c r="K23" s="119"/>
    </row>
    <row r="24" spans="1:11" x14ac:dyDescent="0.25">
      <c r="A24" s="37" t="s">
        <v>33</v>
      </c>
      <c r="B24" s="37" t="s">
        <v>34</v>
      </c>
      <c r="H24" s="70">
        <v>0</v>
      </c>
      <c r="I24" s="119">
        <f>I136</f>
        <v>0</v>
      </c>
      <c r="J24" s="93">
        <f>J136</f>
        <v>0</v>
      </c>
      <c r="K24" s="119">
        <f>K136</f>
        <v>0</v>
      </c>
    </row>
    <row r="25" spans="1:11" x14ac:dyDescent="0.25">
      <c r="A25" s="37" t="s">
        <v>35</v>
      </c>
      <c r="B25" s="37" t="s">
        <v>36</v>
      </c>
      <c r="C25" s="70">
        <v>-679426.49</v>
      </c>
      <c r="D25" s="70">
        <v>-2005497</v>
      </c>
      <c r="E25" s="70">
        <v>66.12</v>
      </c>
      <c r="F25" s="70">
        <v>33.880000000000003</v>
      </c>
      <c r="G25" s="70">
        <v>-1326070.51</v>
      </c>
      <c r="H25" s="70">
        <v>-1917458.9699999997</v>
      </c>
      <c r="I25" s="119">
        <f>I198</f>
        <v>-1404039.5499999998</v>
      </c>
      <c r="J25" s="93">
        <f>J198</f>
        <v>-1404039.5499999998</v>
      </c>
      <c r="K25" s="119">
        <f>K198</f>
        <v>-1404039.5499999998</v>
      </c>
    </row>
    <row r="26" spans="1:11" x14ac:dyDescent="0.25">
      <c r="A26" s="37" t="s">
        <v>37</v>
      </c>
      <c r="B26" s="37" t="s">
        <v>38</v>
      </c>
      <c r="H26" s="70">
        <v>0</v>
      </c>
      <c r="I26" s="119">
        <f>I209</f>
        <v>0</v>
      </c>
      <c r="J26" s="93">
        <f>J209</f>
        <v>0</v>
      </c>
      <c r="K26" s="119">
        <f>K209</f>
        <v>0</v>
      </c>
    </row>
    <row r="27" spans="1:11" x14ac:dyDescent="0.25">
      <c r="A27" s="37" t="s">
        <v>39</v>
      </c>
      <c r="B27" s="37" t="s">
        <v>40</v>
      </c>
      <c r="C27" s="70">
        <v>-973.49</v>
      </c>
      <c r="G27" s="70">
        <v>973.49</v>
      </c>
      <c r="H27" s="70">
        <v>0</v>
      </c>
      <c r="I27" s="119">
        <f>I219</f>
        <v>0</v>
      </c>
      <c r="J27" s="93">
        <f>J219</f>
        <v>0</v>
      </c>
      <c r="K27" s="119">
        <f>K219</f>
        <v>0</v>
      </c>
    </row>
    <row r="28" spans="1:11" x14ac:dyDescent="0.25">
      <c r="A28" s="37" t="s">
        <v>41</v>
      </c>
      <c r="B28" s="37" t="s">
        <v>42</v>
      </c>
      <c r="H28" s="70">
        <v>0</v>
      </c>
      <c r="I28" s="119">
        <f>I223</f>
        <v>0</v>
      </c>
      <c r="J28" s="93">
        <f>J223</f>
        <v>0</v>
      </c>
      <c r="K28" s="119">
        <f>K223</f>
        <v>0</v>
      </c>
    </row>
    <row r="29" spans="1:11" x14ac:dyDescent="0.25">
      <c r="A29" s="37" t="s">
        <v>43</v>
      </c>
      <c r="B29" s="37" t="s">
        <v>44</v>
      </c>
      <c r="H29" s="70">
        <v>0</v>
      </c>
      <c r="I29" s="119">
        <f>I227</f>
        <v>0</v>
      </c>
      <c r="J29" s="93">
        <f>J227</f>
        <v>0</v>
      </c>
      <c r="K29" s="119">
        <f>K227</f>
        <v>0</v>
      </c>
    </row>
    <row r="30" spans="1:11" x14ac:dyDescent="0.25">
      <c r="A30" s="37" t="s">
        <v>12</v>
      </c>
      <c r="B30" s="37" t="s">
        <v>12</v>
      </c>
      <c r="I30" s="119"/>
      <c r="J30" s="93"/>
      <c r="K30" s="119"/>
    </row>
    <row r="31" spans="1:11" ht="15.75" thickBot="1" x14ac:dyDescent="0.3">
      <c r="A31" s="39" t="s">
        <v>45</v>
      </c>
      <c r="B31" s="39" t="s">
        <v>46</v>
      </c>
      <c r="C31" s="72">
        <v>1171714.77</v>
      </c>
      <c r="D31" s="72">
        <v>-45646.400000000001</v>
      </c>
      <c r="E31" s="72">
        <v>2666.94</v>
      </c>
      <c r="F31" s="72">
        <v>-2566.94</v>
      </c>
      <c r="G31" s="72">
        <v>-1217361.17</v>
      </c>
      <c r="H31" s="72">
        <v>-279621.75999999978</v>
      </c>
      <c r="I31" s="122">
        <f>I14+I18+I22+I24+I25+I26+I27</f>
        <v>27464.660000000149</v>
      </c>
      <c r="J31" s="101">
        <f>J14+J18+J22+J24+J25+J26+J27</f>
        <v>27464.660000000149</v>
      </c>
      <c r="K31" s="122">
        <f>K14+K18+K22+K24+K25+K26+K27</f>
        <v>27464.660000000149</v>
      </c>
    </row>
    <row r="32" spans="1:11" ht="15.75" thickTop="1" x14ac:dyDescent="0.25">
      <c r="A32" s="37" t="s">
        <v>12</v>
      </c>
      <c r="B32" s="37" t="s">
        <v>12</v>
      </c>
      <c r="I32" s="119"/>
      <c r="J32" s="93"/>
      <c r="K32" s="119"/>
    </row>
    <row r="33" spans="1:14" x14ac:dyDescent="0.25">
      <c r="A33" s="37" t="s">
        <v>47</v>
      </c>
      <c r="B33" s="37" t="s">
        <v>48</v>
      </c>
      <c r="C33" s="70">
        <v>-10768.2</v>
      </c>
      <c r="D33" s="70">
        <v>-21536.44</v>
      </c>
      <c r="E33" s="70">
        <v>50</v>
      </c>
      <c r="F33" s="70">
        <v>50</v>
      </c>
      <c r="G33" s="70">
        <v>-10768.24</v>
      </c>
      <c r="H33" s="70">
        <v>-19547.330000000002</v>
      </c>
      <c r="I33" s="119">
        <f>I243</f>
        <v>-19547.330000000002</v>
      </c>
      <c r="J33" s="93">
        <f>J243</f>
        <v>-39547.33</v>
      </c>
      <c r="K33" s="119">
        <f>K243</f>
        <v>-39547.33</v>
      </c>
    </row>
    <row r="34" spans="1:14" x14ac:dyDescent="0.25">
      <c r="A34" s="37" t="s">
        <v>12</v>
      </c>
      <c r="B34" s="37" t="s">
        <v>12</v>
      </c>
      <c r="I34" s="119"/>
      <c r="J34" s="93"/>
      <c r="K34" s="119"/>
    </row>
    <row r="35" spans="1:14" ht="15.75" thickBot="1" x14ac:dyDescent="0.3">
      <c r="A35" s="39" t="s">
        <v>12</v>
      </c>
      <c r="B35" s="39" t="s">
        <v>49</v>
      </c>
      <c r="C35" s="72">
        <v>1160946.57</v>
      </c>
      <c r="D35" s="72">
        <v>-67182.84</v>
      </c>
      <c r="E35" s="72">
        <v>1828.04</v>
      </c>
      <c r="F35" s="72">
        <v>-1728.04</v>
      </c>
      <c r="G35" s="72">
        <v>-1228129.4099999999</v>
      </c>
      <c r="H35" s="72">
        <v>-299169.08999999979</v>
      </c>
      <c r="I35" s="122">
        <f>I31+I33</f>
        <v>7917.3300000001473</v>
      </c>
      <c r="J35" s="101">
        <f>J31+J33</f>
        <v>-12082.669999999853</v>
      </c>
      <c r="K35" s="122">
        <f>K31+K33</f>
        <v>-12082.669999999853</v>
      </c>
    </row>
    <row r="36" spans="1:14" ht="15.75" thickTop="1" x14ac:dyDescent="0.25">
      <c r="A36" s="37" t="s">
        <v>12</v>
      </c>
      <c r="B36" s="37" t="s">
        <v>12</v>
      </c>
    </row>
    <row r="37" spans="1:14" x14ac:dyDescent="0.25">
      <c r="A37" s="38" t="s">
        <v>12</v>
      </c>
      <c r="B37" s="38" t="s">
        <v>50</v>
      </c>
      <c r="C37" s="71"/>
      <c r="D37" s="71"/>
      <c r="E37" s="71"/>
      <c r="F37" s="71"/>
      <c r="G37" s="71"/>
      <c r="H37" s="71"/>
      <c r="I37" s="90"/>
      <c r="J37" s="127"/>
      <c r="K37" s="90"/>
    </row>
    <row r="38" spans="1:14" x14ac:dyDescent="0.25">
      <c r="A38" s="37" t="s">
        <v>12</v>
      </c>
      <c r="B38" s="37" t="s">
        <v>12</v>
      </c>
    </row>
    <row r="39" spans="1:14" x14ac:dyDescent="0.25">
      <c r="A39" s="38" t="s">
        <v>51</v>
      </c>
      <c r="B39" s="38" t="s">
        <v>52</v>
      </c>
      <c r="C39" s="71"/>
      <c r="D39" s="71"/>
      <c r="E39" s="71"/>
      <c r="F39" s="71"/>
      <c r="G39" s="71"/>
      <c r="H39" s="71"/>
      <c r="I39" s="90"/>
      <c r="J39" s="127"/>
      <c r="K39" s="90"/>
    </row>
    <row r="40" spans="1:14" x14ac:dyDescent="0.25">
      <c r="A40" s="37" t="s">
        <v>53</v>
      </c>
      <c r="B40" s="37" t="s">
        <v>54</v>
      </c>
      <c r="J40" s="127"/>
      <c r="K40" s="90"/>
      <c r="N40" s="40">
        <f t="shared" ref="N40:N45" si="0">IF(J40&gt;0,0,2)</f>
        <v>2</v>
      </c>
    </row>
    <row r="41" spans="1:14" x14ac:dyDescent="0.25">
      <c r="A41" s="37" t="s">
        <v>55</v>
      </c>
      <c r="B41" s="37" t="s">
        <v>56</v>
      </c>
      <c r="N41" s="40">
        <f t="shared" si="0"/>
        <v>2</v>
      </c>
    </row>
    <row r="42" spans="1:14" x14ac:dyDescent="0.25">
      <c r="A42" s="37" t="s">
        <v>57</v>
      </c>
      <c r="B42" s="37" t="s">
        <v>58</v>
      </c>
      <c r="N42" s="40">
        <f t="shared" si="0"/>
        <v>2</v>
      </c>
    </row>
    <row r="43" spans="1:14" x14ac:dyDescent="0.25">
      <c r="A43" s="37" t="s">
        <v>59</v>
      </c>
      <c r="B43" s="37" t="s">
        <v>60</v>
      </c>
      <c r="N43" s="40">
        <f t="shared" si="0"/>
        <v>2</v>
      </c>
    </row>
    <row r="44" spans="1:14" x14ac:dyDescent="0.25">
      <c r="A44" s="37" t="s">
        <v>61</v>
      </c>
      <c r="B44" s="37" t="s">
        <v>62</v>
      </c>
      <c r="J44" s="127"/>
      <c r="K44" s="90"/>
      <c r="N44" s="40">
        <f t="shared" si="0"/>
        <v>2</v>
      </c>
    </row>
    <row r="45" spans="1:14" x14ac:dyDescent="0.25">
      <c r="A45" s="37" t="s">
        <v>63</v>
      </c>
      <c r="B45" s="37" t="s">
        <v>64</v>
      </c>
      <c r="I45" s="89"/>
      <c r="J45" s="127"/>
      <c r="K45" s="90"/>
      <c r="N45" s="40">
        <f t="shared" si="0"/>
        <v>2</v>
      </c>
    </row>
    <row r="46" spans="1:14" x14ac:dyDescent="0.25">
      <c r="A46" s="38" t="s">
        <v>65</v>
      </c>
      <c r="B46" s="38" t="s">
        <v>66</v>
      </c>
      <c r="C46" s="71"/>
      <c r="D46" s="71"/>
      <c r="E46" s="71"/>
      <c r="F46" s="71"/>
      <c r="G46" s="71"/>
      <c r="H46" s="71">
        <v>0</v>
      </c>
      <c r="I46" s="90">
        <f>SUM(I40:I45)</f>
        <v>0</v>
      </c>
      <c r="J46" s="127">
        <f>SUM(J40:J45)</f>
        <v>0</v>
      </c>
      <c r="K46" s="90">
        <f>SUM(K40:K45)</f>
        <v>0</v>
      </c>
    </row>
    <row r="47" spans="1:14" x14ac:dyDescent="0.25">
      <c r="A47" s="37" t="s">
        <v>12</v>
      </c>
      <c r="B47" s="37" t="s">
        <v>12</v>
      </c>
    </row>
    <row r="48" spans="1:14" x14ac:dyDescent="0.25">
      <c r="A48" s="38" t="s">
        <v>67</v>
      </c>
      <c r="B48" s="38" t="s">
        <v>68</v>
      </c>
      <c r="C48" s="71"/>
      <c r="D48" s="71"/>
      <c r="E48" s="71"/>
      <c r="F48" s="71"/>
      <c r="G48" s="71"/>
      <c r="H48" s="71"/>
      <c r="I48" s="90"/>
      <c r="J48" s="127"/>
      <c r="K48" s="90"/>
    </row>
    <row r="49" spans="1:14" x14ac:dyDescent="0.25">
      <c r="A49" s="37" t="s">
        <v>69</v>
      </c>
      <c r="B49" s="37" t="s">
        <v>70</v>
      </c>
      <c r="J49" s="89">
        <f>I49*DATAARK!$B$3</f>
        <v>0</v>
      </c>
      <c r="K49" s="89">
        <f>J49*DATAARK!$C$3</f>
        <v>0</v>
      </c>
      <c r="N49" s="40">
        <f t="shared" ref="N49:N58" si="1">IF(J49&gt;0,0,2)</f>
        <v>2</v>
      </c>
    </row>
    <row r="50" spans="1:14" x14ac:dyDescent="0.25">
      <c r="A50" s="37" t="s">
        <v>71</v>
      </c>
      <c r="B50" s="37" t="s">
        <v>72</v>
      </c>
      <c r="J50" s="89">
        <f>I50*DATAARK!$B$3</f>
        <v>0</v>
      </c>
      <c r="K50" s="89">
        <f>J50*DATAARK!$C$3</f>
        <v>0</v>
      </c>
      <c r="N50" s="40">
        <f t="shared" si="1"/>
        <v>2</v>
      </c>
    </row>
    <row r="51" spans="1:14" x14ac:dyDescent="0.25">
      <c r="A51" s="37" t="s">
        <v>73</v>
      </c>
      <c r="B51" s="37" t="s">
        <v>74</v>
      </c>
      <c r="J51" s="89">
        <f>I51*DATAARK!$B$3</f>
        <v>0</v>
      </c>
      <c r="K51" s="89">
        <f>J51*DATAARK!$C$3</f>
        <v>0</v>
      </c>
      <c r="N51" s="40">
        <f t="shared" si="1"/>
        <v>2</v>
      </c>
    </row>
    <row r="52" spans="1:14" x14ac:dyDescent="0.25">
      <c r="A52" s="37" t="s">
        <v>75</v>
      </c>
      <c r="B52" s="37" t="s">
        <v>76</v>
      </c>
      <c r="J52" s="89">
        <f>I52*DATAARK!$B$3</f>
        <v>0</v>
      </c>
      <c r="K52" s="89">
        <f>J52*DATAARK!$C$3</f>
        <v>0</v>
      </c>
      <c r="N52" s="40">
        <f t="shared" si="1"/>
        <v>2</v>
      </c>
    </row>
    <row r="53" spans="1:14" x14ac:dyDescent="0.25">
      <c r="A53" s="37" t="s">
        <v>77</v>
      </c>
      <c r="B53" s="37" t="s">
        <v>78</v>
      </c>
      <c r="J53" s="89">
        <f>I53*DATAARK!$B$3</f>
        <v>0</v>
      </c>
      <c r="K53" s="89">
        <f>J53*DATAARK!$C$3</f>
        <v>0</v>
      </c>
      <c r="N53" s="40">
        <f t="shared" si="1"/>
        <v>2</v>
      </c>
    </row>
    <row r="54" spans="1:14" x14ac:dyDescent="0.25">
      <c r="A54" s="37" t="s">
        <v>79</v>
      </c>
      <c r="B54" s="37" t="s">
        <v>80</v>
      </c>
      <c r="J54" s="89">
        <f>I54*DATAARK!$B$3</f>
        <v>0</v>
      </c>
      <c r="K54" s="89">
        <f>J54*DATAARK!$C$3</f>
        <v>0</v>
      </c>
      <c r="N54" s="40">
        <f t="shared" si="1"/>
        <v>2</v>
      </c>
    </row>
    <row r="55" spans="1:14" x14ac:dyDescent="0.25">
      <c r="A55" s="37" t="s">
        <v>81</v>
      </c>
      <c r="B55" s="37" t="s">
        <v>82</v>
      </c>
      <c r="C55" s="70">
        <v>2767173.9</v>
      </c>
      <c r="D55" s="70">
        <v>3247833</v>
      </c>
      <c r="E55" s="70">
        <v>14.8</v>
      </c>
      <c r="F55" s="70">
        <v>85.2</v>
      </c>
      <c r="G55" s="70">
        <v>480659.1</v>
      </c>
      <c r="H55" s="70">
        <v>3247833</v>
      </c>
      <c r="I55" s="103">
        <v>3041500</v>
      </c>
      <c r="J55" s="89">
        <f>I55*DATAARK!$B$3</f>
        <v>3041500</v>
      </c>
      <c r="K55" s="89">
        <f>J55*DATAARK!$C$3</f>
        <v>3041500</v>
      </c>
      <c r="N55" s="40">
        <f t="shared" si="1"/>
        <v>0</v>
      </c>
    </row>
    <row r="56" spans="1:14" x14ac:dyDescent="0.25">
      <c r="A56" s="37" t="s">
        <v>83</v>
      </c>
      <c r="B56" s="37" t="s">
        <v>84</v>
      </c>
      <c r="J56" s="89">
        <f>I56*DATAARK!$B$3</f>
        <v>0</v>
      </c>
      <c r="K56" s="89">
        <f>J56*DATAARK!$C$3</f>
        <v>0</v>
      </c>
      <c r="N56" s="40">
        <f t="shared" si="1"/>
        <v>2</v>
      </c>
    </row>
    <row r="57" spans="1:14" x14ac:dyDescent="0.25">
      <c r="A57" s="37" t="s">
        <v>85</v>
      </c>
      <c r="B57" s="37" t="s">
        <v>86</v>
      </c>
      <c r="J57" s="89">
        <f>I57*DATAARK!$B$3</f>
        <v>0</v>
      </c>
      <c r="K57" s="89">
        <f>J57*DATAARK!$C$3</f>
        <v>0</v>
      </c>
      <c r="N57" s="40">
        <f t="shared" si="1"/>
        <v>2</v>
      </c>
    </row>
    <row r="58" spans="1:14" x14ac:dyDescent="0.25">
      <c r="A58" s="37" t="s">
        <v>87</v>
      </c>
      <c r="B58" s="37" t="s">
        <v>88</v>
      </c>
      <c r="J58" s="89">
        <f>I58*DATAARK!$B$3</f>
        <v>0</v>
      </c>
      <c r="K58" s="89">
        <f>J58*DATAARK!$C$3</f>
        <v>0</v>
      </c>
      <c r="N58" s="40">
        <f t="shared" si="1"/>
        <v>2</v>
      </c>
    </row>
    <row r="59" spans="1:14" x14ac:dyDescent="0.25">
      <c r="A59" s="38" t="s">
        <v>89</v>
      </c>
      <c r="B59" s="38" t="s">
        <v>17</v>
      </c>
      <c r="C59" s="71">
        <v>2767173.9</v>
      </c>
      <c r="D59" s="71">
        <v>3247833</v>
      </c>
      <c r="E59" s="71">
        <v>14.8</v>
      </c>
      <c r="F59" s="71">
        <v>85.2</v>
      </c>
      <c r="G59" s="71">
        <v>480659.1</v>
      </c>
      <c r="H59" s="71">
        <v>3247833</v>
      </c>
      <c r="I59" s="90">
        <f>SUM(I49:I58)</f>
        <v>3041500</v>
      </c>
      <c r="J59" s="90">
        <f>SUM(J49:J58)</f>
        <v>3041500</v>
      </c>
      <c r="K59" s="90">
        <f>SUM(K49:K58)</f>
        <v>3041500</v>
      </c>
    </row>
    <row r="60" spans="1:14" x14ac:dyDescent="0.25">
      <c r="A60" s="37" t="s">
        <v>12</v>
      </c>
      <c r="B60" s="37" t="s">
        <v>12</v>
      </c>
      <c r="J60" s="89">
        <v>0</v>
      </c>
    </row>
    <row r="61" spans="1:14" x14ac:dyDescent="0.25">
      <c r="A61" s="38" t="s">
        <v>90</v>
      </c>
      <c r="B61" s="38" t="s">
        <v>91</v>
      </c>
      <c r="C61" s="71"/>
      <c r="D61" s="71"/>
      <c r="E61" s="71"/>
      <c r="F61" s="71"/>
      <c r="G61" s="71"/>
      <c r="H61" s="71"/>
      <c r="I61" s="90"/>
      <c r="J61" s="89">
        <v>0</v>
      </c>
      <c r="K61" s="90"/>
    </row>
    <row r="62" spans="1:14" x14ac:dyDescent="0.25">
      <c r="A62" s="37" t="s">
        <v>92</v>
      </c>
      <c r="B62" s="37" t="s">
        <v>93</v>
      </c>
      <c r="J62" s="89">
        <f>I62*DATAARK!$B$3</f>
        <v>0</v>
      </c>
      <c r="K62" s="89">
        <f>J62*DATAARK!$C$3</f>
        <v>0</v>
      </c>
      <c r="N62" s="40">
        <f>IF(J62&gt;0,0,2)</f>
        <v>2</v>
      </c>
    </row>
    <row r="63" spans="1:14" x14ac:dyDescent="0.25">
      <c r="A63" s="38" t="s">
        <v>94</v>
      </c>
      <c r="B63" s="38" t="s">
        <v>95</v>
      </c>
      <c r="C63" s="71"/>
      <c r="D63" s="71"/>
      <c r="E63" s="71"/>
      <c r="F63" s="71"/>
      <c r="G63" s="71"/>
      <c r="H63" s="71">
        <v>0</v>
      </c>
      <c r="I63" s="90">
        <f>I62</f>
        <v>0</v>
      </c>
      <c r="J63" s="90">
        <f>J62</f>
        <v>0</v>
      </c>
      <c r="K63" s="90">
        <f>K62</f>
        <v>0</v>
      </c>
    </row>
    <row r="64" spans="1:14" x14ac:dyDescent="0.25">
      <c r="A64" s="37" t="s">
        <v>12</v>
      </c>
      <c r="B64" s="37" t="s">
        <v>12</v>
      </c>
    </row>
    <row r="65" spans="1:14" x14ac:dyDescent="0.25">
      <c r="A65" s="38" t="s">
        <v>96</v>
      </c>
      <c r="B65" s="38" t="s">
        <v>97</v>
      </c>
      <c r="C65" s="71">
        <v>2767173.9</v>
      </c>
      <c r="D65" s="71">
        <v>3247833</v>
      </c>
      <c r="E65" s="71">
        <v>14.8</v>
      </c>
      <c r="F65" s="71">
        <v>85.2</v>
      </c>
      <c r="G65" s="71">
        <v>480659.1</v>
      </c>
      <c r="H65" s="71">
        <v>3247833</v>
      </c>
      <c r="I65" s="90">
        <f>I63+I59+I46</f>
        <v>3041500</v>
      </c>
      <c r="J65" s="90">
        <f>J46+J59+J63</f>
        <v>3041500</v>
      </c>
      <c r="K65" s="90">
        <f>K46+K59+K63</f>
        <v>3041500</v>
      </c>
    </row>
    <row r="66" spans="1:14" x14ac:dyDescent="0.25">
      <c r="A66" s="37" t="s">
        <v>12</v>
      </c>
      <c r="B66" s="37" t="s">
        <v>12</v>
      </c>
    </row>
    <row r="67" spans="1:14" x14ac:dyDescent="0.25">
      <c r="A67" s="38" t="s">
        <v>98</v>
      </c>
      <c r="B67" s="38" t="s">
        <v>99</v>
      </c>
      <c r="C67" s="71"/>
      <c r="D67" s="71"/>
      <c r="E67" s="71"/>
      <c r="F67" s="71"/>
      <c r="G67" s="71"/>
      <c r="H67" s="71"/>
      <c r="I67" s="90"/>
      <c r="J67" s="127"/>
      <c r="K67" s="90"/>
    </row>
    <row r="68" spans="1:14" x14ac:dyDescent="0.25">
      <c r="A68" s="37" t="s">
        <v>100</v>
      </c>
      <c r="B68" s="37" t="s">
        <v>101</v>
      </c>
      <c r="J68" s="89">
        <f>I68*DATAARK!$B$3</f>
        <v>0</v>
      </c>
      <c r="K68" s="89">
        <f>J68*DATAARK!$C$3</f>
        <v>0</v>
      </c>
      <c r="N68" s="40">
        <f>IF(J68&gt;0,1,0)</f>
        <v>0</v>
      </c>
    </row>
    <row r="69" spans="1:14" x14ac:dyDescent="0.25">
      <c r="A69" s="37" t="s">
        <v>102</v>
      </c>
      <c r="B69" s="37" t="s">
        <v>103</v>
      </c>
      <c r="J69" s="89">
        <f>I69*DATAARK!$B$3</f>
        <v>0</v>
      </c>
      <c r="K69" s="89">
        <f>J69*DATAARK!$C$3</f>
        <v>0</v>
      </c>
      <c r="N69" s="40">
        <f>IF(J69&gt;0,1,0)</f>
        <v>0</v>
      </c>
    </row>
    <row r="70" spans="1:14" x14ac:dyDescent="0.25">
      <c r="A70" s="38" t="s">
        <v>104</v>
      </c>
      <c r="B70" s="38" t="s">
        <v>105</v>
      </c>
      <c r="C70" s="71"/>
      <c r="D70" s="71"/>
      <c r="E70" s="71"/>
      <c r="F70" s="71"/>
      <c r="G70" s="71"/>
      <c r="H70" s="71"/>
      <c r="I70" s="90"/>
      <c r="J70" s="127"/>
      <c r="K70" s="90"/>
    </row>
    <row r="71" spans="1:14" x14ac:dyDescent="0.25">
      <c r="A71" s="37" t="s">
        <v>12</v>
      </c>
      <c r="B71" s="37" t="s">
        <v>12</v>
      </c>
    </row>
    <row r="72" spans="1:14" x14ac:dyDescent="0.25">
      <c r="A72" s="38" t="s">
        <v>106</v>
      </c>
      <c r="B72" s="38" t="s">
        <v>107</v>
      </c>
      <c r="C72" s="71"/>
      <c r="D72" s="71"/>
      <c r="E72" s="71"/>
      <c r="F72" s="71"/>
      <c r="G72" s="71"/>
      <c r="H72" s="71"/>
      <c r="I72" s="90"/>
      <c r="J72" s="127"/>
      <c r="K72" s="90"/>
    </row>
    <row r="73" spans="1:14" x14ac:dyDescent="0.25">
      <c r="A73" s="37" t="s">
        <v>108</v>
      </c>
      <c r="B73" s="37" t="s">
        <v>109</v>
      </c>
      <c r="J73" s="89">
        <f>I73*DATAARK!$B$3</f>
        <v>0</v>
      </c>
      <c r="K73" s="89">
        <f>J73*DATAARK!$C$3</f>
        <v>0</v>
      </c>
      <c r="N73" s="40">
        <f>IF(J73&gt;0,1,0)</f>
        <v>0</v>
      </c>
    </row>
    <row r="74" spans="1:14" x14ac:dyDescent="0.25">
      <c r="A74" s="37" t="s">
        <v>110</v>
      </c>
      <c r="B74" s="37" t="s">
        <v>111</v>
      </c>
      <c r="J74" s="89">
        <f>I74*DATAARK!$B$3</f>
        <v>0</v>
      </c>
      <c r="K74" s="89">
        <f>J74*DATAARK!$C$3</f>
        <v>0</v>
      </c>
      <c r="N74" s="40">
        <f>IF(J74&gt;0,1,0)</f>
        <v>0</v>
      </c>
    </row>
    <row r="75" spans="1:14" x14ac:dyDescent="0.25">
      <c r="A75" s="37" t="s">
        <v>112</v>
      </c>
      <c r="B75" s="37" t="s">
        <v>113</v>
      </c>
      <c r="J75" s="89">
        <f>I75*DATAARK!$B$3</f>
        <v>0</v>
      </c>
      <c r="K75" s="89">
        <f>J75*DATAARK!$C$3</f>
        <v>0</v>
      </c>
      <c r="N75" s="40">
        <f>IF(J75&gt;0,1,0)</f>
        <v>0</v>
      </c>
    </row>
    <row r="76" spans="1:14" x14ac:dyDescent="0.25">
      <c r="A76" s="37" t="s">
        <v>114</v>
      </c>
      <c r="B76" s="37" t="s">
        <v>115</v>
      </c>
      <c r="C76" s="70">
        <v>-5496.4</v>
      </c>
      <c r="G76" s="70">
        <v>5496.4</v>
      </c>
      <c r="H76" s="70">
        <v>-5496.4</v>
      </c>
      <c r="I76" s="103">
        <f>C76</f>
        <v>-5496.4</v>
      </c>
      <c r="J76" s="89">
        <f>I76*DATAARK!$B$3</f>
        <v>-5496.4</v>
      </c>
      <c r="K76" s="89">
        <f>J76*DATAARK!$C$3</f>
        <v>-5496.4</v>
      </c>
      <c r="N76" s="40">
        <f>IF(J76&gt;0,1,0)</f>
        <v>0</v>
      </c>
    </row>
    <row r="77" spans="1:14" x14ac:dyDescent="0.25">
      <c r="A77" s="38" t="s">
        <v>116</v>
      </c>
      <c r="B77" s="38" t="s">
        <v>117</v>
      </c>
      <c r="C77" s="71">
        <v>-5496.4</v>
      </c>
      <c r="D77" s="71"/>
      <c r="E77" s="71"/>
      <c r="F77" s="71"/>
      <c r="G77" s="71">
        <v>5496.4</v>
      </c>
      <c r="H77" s="71">
        <v>-5496.4</v>
      </c>
      <c r="I77" s="90">
        <f>SUM(I73:I76)</f>
        <v>-5496.4</v>
      </c>
      <c r="J77" s="127">
        <f>SUM(J73:J76)</f>
        <v>-5496.4</v>
      </c>
      <c r="K77" s="90">
        <f>SUM(K73:K76)</f>
        <v>-5496.4</v>
      </c>
    </row>
    <row r="78" spans="1:14" x14ac:dyDescent="0.25">
      <c r="A78" s="37" t="s">
        <v>12</v>
      </c>
      <c r="B78" s="37" t="s">
        <v>12</v>
      </c>
    </row>
    <row r="79" spans="1:14" x14ac:dyDescent="0.25">
      <c r="A79" s="38" t="s">
        <v>118</v>
      </c>
      <c r="B79" s="38" t="s">
        <v>119</v>
      </c>
      <c r="C79" s="71"/>
      <c r="D79" s="71"/>
      <c r="E79" s="71"/>
      <c r="F79" s="71"/>
      <c r="G79" s="71"/>
      <c r="H79" s="71"/>
      <c r="I79" s="90"/>
      <c r="J79" s="127"/>
      <c r="K79" s="90"/>
    </row>
    <row r="80" spans="1:14" x14ac:dyDescent="0.25">
      <c r="A80" s="37" t="s">
        <v>120</v>
      </c>
      <c r="B80" s="37" t="s">
        <v>121</v>
      </c>
      <c r="N80" s="40">
        <f>IF(J80&gt;0,1,0)</f>
        <v>0</v>
      </c>
    </row>
    <row r="81" spans="1:14" x14ac:dyDescent="0.25">
      <c r="A81" s="37" t="s">
        <v>122</v>
      </c>
      <c r="B81" s="37" t="s">
        <v>123</v>
      </c>
      <c r="N81" s="40">
        <f>IF(J81&gt;0,1,0)</f>
        <v>0</v>
      </c>
    </row>
    <row r="82" spans="1:14" x14ac:dyDescent="0.25">
      <c r="A82" s="38" t="s">
        <v>124</v>
      </c>
      <c r="B82" s="38" t="s">
        <v>125</v>
      </c>
      <c r="C82" s="71"/>
      <c r="D82" s="71"/>
      <c r="E82" s="71"/>
      <c r="F82" s="71"/>
      <c r="G82" s="71"/>
      <c r="H82" s="71">
        <v>0</v>
      </c>
      <c r="I82" s="90">
        <f>I80+I81</f>
        <v>0</v>
      </c>
      <c r="J82" s="127"/>
      <c r="K82" s="90"/>
    </row>
    <row r="83" spans="1:14" x14ac:dyDescent="0.25">
      <c r="A83" s="37" t="s">
        <v>12</v>
      </c>
      <c r="B83" s="37" t="s">
        <v>12</v>
      </c>
    </row>
    <row r="84" spans="1:14" x14ac:dyDescent="0.25">
      <c r="A84" s="38" t="s">
        <v>126</v>
      </c>
      <c r="B84" s="38" t="s">
        <v>30</v>
      </c>
      <c r="C84" s="71"/>
      <c r="D84" s="71"/>
      <c r="E84" s="71"/>
      <c r="F84" s="71"/>
      <c r="G84" s="71"/>
      <c r="H84" s="71"/>
      <c r="I84" s="90"/>
      <c r="J84" s="127"/>
      <c r="K84" s="90"/>
    </row>
    <row r="85" spans="1:14" x14ac:dyDescent="0.25">
      <c r="A85" s="37" t="s">
        <v>127</v>
      </c>
      <c r="B85" s="37" t="s">
        <v>128</v>
      </c>
      <c r="J85" s="89">
        <f>I85*DATAARK!$B$4</f>
        <v>0</v>
      </c>
      <c r="K85" s="89">
        <f>J85*DATAARK!$C$4</f>
        <v>0</v>
      </c>
      <c r="N85" s="40">
        <f t="shared" ref="N85:N106" si="2">IF(J85&gt;0,1,0)</f>
        <v>0</v>
      </c>
    </row>
    <row r="86" spans="1:14" x14ac:dyDescent="0.25">
      <c r="A86" s="37" t="s">
        <v>129</v>
      </c>
      <c r="B86" s="37" t="s">
        <v>130</v>
      </c>
      <c r="H86" s="70">
        <v>0</v>
      </c>
      <c r="I86" s="103">
        <v>0</v>
      </c>
      <c r="J86" s="89">
        <f>I86*DATAARK!$B$4</f>
        <v>0</v>
      </c>
      <c r="K86" s="89">
        <f>J86*DATAARK!$C$4</f>
        <v>0</v>
      </c>
      <c r="N86" s="40">
        <f t="shared" si="2"/>
        <v>0</v>
      </c>
    </row>
    <row r="87" spans="1:14" x14ac:dyDescent="0.25">
      <c r="A87" s="37" t="s">
        <v>131</v>
      </c>
      <c r="B87" s="37" t="s">
        <v>132</v>
      </c>
      <c r="J87" s="89">
        <f>I87*DATAARK!$B$4</f>
        <v>0</v>
      </c>
      <c r="K87" s="89">
        <f>J87*DATAARK!$C$4</f>
        <v>0</v>
      </c>
      <c r="N87" s="40">
        <f t="shared" si="2"/>
        <v>0</v>
      </c>
    </row>
    <row r="88" spans="1:14" x14ac:dyDescent="0.25">
      <c r="A88" s="37" t="s">
        <v>133</v>
      </c>
      <c r="B88" s="37" t="s">
        <v>134</v>
      </c>
      <c r="J88" s="89">
        <f>I88*DATAARK!$B$4</f>
        <v>0</v>
      </c>
      <c r="K88" s="89">
        <f>J88*DATAARK!$C$4</f>
        <v>0</v>
      </c>
      <c r="N88" s="40">
        <f t="shared" si="2"/>
        <v>0</v>
      </c>
    </row>
    <row r="89" spans="1:14" x14ac:dyDescent="0.25">
      <c r="A89" s="37" t="s">
        <v>135</v>
      </c>
      <c r="B89" s="37" t="s">
        <v>136</v>
      </c>
      <c r="J89" s="89">
        <f>I89*DATAARK!$B$4</f>
        <v>0</v>
      </c>
      <c r="K89" s="89">
        <f>J89*DATAARK!$C$4</f>
        <v>0</v>
      </c>
      <c r="N89" s="40">
        <f t="shared" si="2"/>
        <v>0</v>
      </c>
    </row>
    <row r="90" spans="1:14" x14ac:dyDescent="0.25">
      <c r="A90" s="37" t="s">
        <v>137</v>
      </c>
      <c r="B90" s="37" t="s">
        <v>138</v>
      </c>
      <c r="C90" s="70">
        <v>-772488.94</v>
      </c>
      <c r="D90" s="70">
        <v>-1567025.39</v>
      </c>
      <c r="E90" s="70">
        <v>50.7</v>
      </c>
      <c r="F90" s="70">
        <v>49.3</v>
      </c>
      <c r="G90" s="70">
        <v>-794536.45</v>
      </c>
      <c r="H90" s="70">
        <v>-1371367</v>
      </c>
      <c r="I90" s="103">
        <v>-1371367</v>
      </c>
      <c r="J90" s="89">
        <f>I90*DATAARK!$B$4</f>
        <v>-1371367</v>
      </c>
      <c r="K90" s="89">
        <f>J90*DATAARK!$C$4</f>
        <v>-1371367</v>
      </c>
      <c r="N90" s="40">
        <f t="shared" si="2"/>
        <v>0</v>
      </c>
    </row>
    <row r="91" spans="1:14" x14ac:dyDescent="0.25">
      <c r="A91" s="37" t="s">
        <v>139</v>
      </c>
      <c r="B91" s="37" t="s">
        <v>140</v>
      </c>
      <c r="J91" s="89">
        <f>I91*DATAARK!$B$4</f>
        <v>0</v>
      </c>
      <c r="K91" s="89">
        <f>J91*DATAARK!$C$4</f>
        <v>0</v>
      </c>
      <c r="N91" s="40">
        <f t="shared" si="2"/>
        <v>0</v>
      </c>
    </row>
    <row r="92" spans="1:14" x14ac:dyDescent="0.25">
      <c r="A92" s="37" t="s">
        <v>141</v>
      </c>
      <c r="B92" s="37" t="s">
        <v>142</v>
      </c>
      <c r="J92" s="89">
        <f>I92*DATAARK!$B$4</f>
        <v>0</v>
      </c>
      <c r="K92" s="89">
        <f>J92*DATAARK!$C$4</f>
        <v>0</v>
      </c>
      <c r="N92" s="40">
        <f t="shared" si="2"/>
        <v>0</v>
      </c>
    </row>
    <row r="93" spans="1:14" x14ac:dyDescent="0.25">
      <c r="A93" s="37" t="s">
        <v>143</v>
      </c>
      <c r="B93" s="37" t="s">
        <v>144</v>
      </c>
      <c r="J93" s="89">
        <f>I93*DATAARK!$B$4</f>
        <v>0</v>
      </c>
      <c r="K93" s="89">
        <f>J93*DATAARK!$C$4</f>
        <v>0</v>
      </c>
      <c r="N93" s="40">
        <f t="shared" si="2"/>
        <v>0</v>
      </c>
    </row>
    <row r="94" spans="1:14" x14ac:dyDescent="0.25">
      <c r="A94" s="37" t="s">
        <v>145</v>
      </c>
      <c r="B94" s="37" t="s">
        <v>146</v>
      </c>
      <c r="J94" s="89">
        <f>I94*DATAARK!$B$4</f>
        <v>0</v>
      </c>
      <c r="K94" s="89">
        <f>J94*DATAARK!$C$4</f>
        <v>0</v>
      </c>
      <c r="N94" s="40">
        <f t="shared" si="2"/>
        <v>0</v>
      </c>
    </row>
    <row r="95" spans="1:14" x14ac:dyDescent="0.25">
      <c r="A95" s="37" t="s">
        <v>147</v>
      </c>
      <c r="B95" s="37" t="s">
        <v>148</v>
      </c>
      <c r="J95" s="89">
        <f>I95*DATAARK!$B$4</f>
        <v>0</v>
      </c>
      <c r="K95" s="89">
        <f>J95*DATAARK!$C$4</f>
        <v>0</v>
      </c>
      <c r="N95" s="40">
        <f t="shared" si="2"/>
        <v>0</v>
      </c>
    </row>
    <row r="96" spans="1:14" x14ac:dyDescent="0.25">
      <c r="A96" s="37" t="s">
        <v>149</v>
      </c>
      <c r="B96" s="37" t="s">
        <v>150</v>
      </c>
      <c r="J96" s="89">
        <f>I96*DATAARK!$B$4</f>
        <v>0</v>
      </c>
      <c r="K96" s="89">
        <f>J96*DATAARK!$C$4</f>
        <v>0</v>
      </c>
      <c r="N96" s="40">
        <f t="shared" si="2"/>
        <v>0</v>
      </c>
    </row>
    <row r="97" spans="1:14" x14ac:dyDescent="0.25">
      <c r="A97" s="37" t="s">
        <v>151</v>
      </c>
      <c r="B97" s="37" t="s">
        <v>152</v>
      </c>
      <c r="J97" s="89">
        <f>I97*DATAARK!$B$4</f>
        <v>0</v>
      </c>
      <c r="K97" s="89">
        <f>J97*DATAARK!$C$4</f>
        <v>0</v>
      </c>
      <c r="N97" s="40">
        <f t="shared" si="2"/>
        <v>0</v>
      </c>
    </row>
    <row r="98" spans="1:14" x14ac:dyDescent="0.25">
      <c r="A98" s="37" t="s">
        <v>153</v>
      </c>
      <c r="B98" s="37" t="s">
        <v>154</v>
      </c>
      <c r="J98" s="89">
        <f>I98*DATAARK!$B$4</f>
        <v>0</v>
      </c>
      <c r="K98" s="89">
        <f>J98*DATAARK!$C$4</f>
        <v>0</v>
      </c>
      <c r="N98" s="40">
        <f t="shared" si="2"/>
        <v>0</v>
      </c>
    </row>
    <row r="99" spans="1:14" x14ac:dyDescent="0.25">
      <c r="A99" s="37" t="s">
        <v>155</v>
      </c>
      <c r="B99" s="37" t="s">
        <v>156</v>
      </c>
      <c r="J99" s="89">
        <f>I99*DATAARK!$B$4</f>
        <v>0</v>
      </c>
      <c r="K99" s="89">
        <f>J99*DATAARK!$C$4</f>
        <v>0</v>
      </c>
      <c r="N99" s="40">
        <f t="shared" si="2"/>
        <v>0</v>
      </c>
    </row>
    <row r="100" spans="1:14" x14ac:dyDescent="0.25">
      <c r="A100" s="37" t="s">
        <v>157</v>
      </c>
      <c r="B100" s="37" t="s">
        <v>158</v>
      </c>
      <c r="J100" s="89">
        <f>I100*DATAARK!$B$4</f>
        <v>0</v>
      </c>
      <c r="K100" s="89">
        <f>J100*DATAARK!$C$4</f>
        <v>0</v>
      </c>
      <c r="N100" s="40">
        <f t="shared" si="2"/>
        <v>0</v>
      </c>
    </row>
    <row r="101" spans="1:14" x14ac:dyDescent="0.25">
      <c r="A101" s="37" t="s">
        <v>159</v>
      </c>
      <c r="B101" s="37" t="s">
        <v>160</v>
      </c>
      <c r="J101" s="89">
        <f>I101*DATAARK!$B$4</f>
        <v>0</v>
      </c>
      <c r="K101" s="89">
        <f>J101*DATAARK!$C$4</f>
        <v>0</v>
      </c>
      <c r="N101" s="40">
        <f t="shared" si="2"/>
        <v>0</v>
      </c>
    </row>
    <row r="102" spans="1:14" x14ac:dyDescent="0.25">
      <c r="A102" s="37" t="s">
        <v>161</v>
      </c>
      <c r="B102" s="37" t="s">
        <v>162</v>
      </c>
      <c r="J102" s="89">
        <f>I102*DATAARK!$B$4</f>
        <v>0</v>
      </c>
      <c r="K102" s="89">
        <f>J102*DATAARK!$C$4</f>
        <v>0</v>
      </c>
      <c r="N102" s="40">
        <f t="shared" si="2"/>
        <v>0</v>
      </c>
    </row>
    <row r="103" spans="1:14" x14ac:dyDescent="0.25">
      <c r="A103" s="37" t="s">
        <v>163</v>
      </c>
      <c r="B103" s="37" t="s">
        <v>164</v>
      </c>
      <c r="J103" s="89">
        <f>I103*DATAARK!$B$4</f>
        <v>0</v>
      </c>
      <c r="K103" s="89">
        <f>J103*DATAARK!$C$4</f>
        <v>0</v>
      </c>
      <c r="N103" s="40">
        <f t="shared" si="2"/>
        <v>0</v>
      </c>
    </row>
    <row r="104" spans="1:14" x14ac:dyDescent="0.25">
      <c r="A104" s="37" t="s">
        <v>165</v>
      </c>
      <c r="B104" s="37" t="s">
        <v>166</v>
      </c>
      <c r="J104" s="89">
        <f>I104*DATAARK!$B$4</f>
        <v>0</v>
      </c>
      <c r="K104" s="89">
        <f>J104*DATAARK!$C$4</f>
        <v>0</v>
      </c>
      <c r="N104" s="40">
        <f t="shared" si="2"/>
        <v>0</v>
      </c>
    </row>
    <row r="105" spans="1:14" x14ac:dyDescent="0.25">
      <c r="A105" s="37" t="s">
        <v>167</v>
      </c>
      <c r="B105" s="37" t="s">
        <v>168</v>
      </c>
      <c r="J105" s="89">
        <f>I105*DATAARK!$B$4</f>
        <v>0</v>
      </c>
      <c r="K105" s="89">
        <f>J105*DATAARK!$C$4</f>
        <v>0</v>
      </c>
      <c r="N105" s="40">
        <f t="shared" si="2"/>
        <v>0</v>
      </c>
    </row>
    <row r="106" spans="1:14" x14ac:dyDescent="0.25">
      <c r="A106" s="37" t="s">
        <v>169</v>
      </c>
      <c r="B106" s="37" t="s">
        <v>170</v>
      </c>
      <c r="J106" s="89">
        <f>I106*DATAARK!$B$4</f>
        <v>0</v>
      </c>
      <c r="K106" s="89">
        <f>J106*DATAARK!$C$4</f>
        <v>0</v>
      </c>
      <c r="N106" s="40">
        <f t="shared" si="2"/>
        <v>0</v>
      </c>
    </row>
    <row r="107" spans="1:14" x14ac:dyDescent="0.25">
      <c r="A107" s="38" t="s">
        <v>171</v>
      </c>
      <c r="B107" s="38" t="s">
        <v>172</v>
      </c>
      <c r="C107" s="71">
        <v>-772488.94</v>
      </c>
      <c r="D107" s="71">
        <v>-1567025.39</v>
      </c>
      <c r="E107" s="71">
        <v>50.7</v>
      </c>
      <c r="F107" s="71">
        <v>49.3</v>
      </c>
      <c r="G107" s="71">
        <v>-794536.45</v>
      </c>
      <c r="H107" s="71">
        <v>-1371367</v>
      </c>
      <c r="I107" s="90">
        <f>SUM(I85:I106)</f>
        <v>-1371367</v>
      </c>
      <c r="J107" s="89">
        <f>SUM(J85:J106)</f>
        <v>-1371367</v>
      </c>
      <c r="K107" s="90">
        <f>SUM(K85:K106)</f>
        <v>-1371367</v>
      </c>
    </row>
    <row r="108" spans="1:14" x14ac:dyDescent="0.25">
      <c r="A108" s="37" t="s">
        <v>12</v>
      </c>
      <c r="B108" s="37" t="s">
        <v>12</v>
      </c>
    </row>
    <row r="109" spans="1:14" x14ac:dyDescent="0.25">
      <c r="A109" s="38" t="s">
        <v>173</v>
      </c>
      <c r="B109" s="38" t="s">
        <v>174</v>
      </c>
      <c r="C109" s="71"/>
      <c r="D109" s="71"/>
      <c r="E109" s="71"/>
      <c r="F109" s="71"/>
      <c r="G109" s="71"/>
      <c r="H109" s="71"/>
      <c r="I109" s="90"/>
      <c r="J109" s="127"/>
      <c r="K109" s="90"/>
    </row>
    <row r="110" spans="1:14" x14ac:dyDescent="0.25">
      <c r="A110" s="37" t="s">
        <v>175</v>
      </c>
      <c r="B110" s="37" t="s">
        <v>174</v>
      </c>
      <c r="C110" s="70">
        <v>-137073.81</v>
      </c>
      <c r="D110" s="70">
        <v>-320957.01</v>
      </c>
      <c r="E110" s="70">
        <v>57.29</v>
      </c>
      <c r="F110" s="70">
        <v>42.71</v>
      </c>
      <c r="G110" s="70">
        <v>-183883.2</v>
      </c>
      <c r="H110" s="70">
        <v>-233132.39</v>
      </c>
      <c r="I110" s="103">
        <v>-233132.39</v>
      </c>
      <c r="J110" s="89">
        <f>I110*DATAARK!$B$4</f>
        <v>-233132.39</v>
      </c>
      <c r="K110" s="89">
        <f>J110*DATAARK!$C$4</f>
        <v>-233132.39</v>
      </c>
      <c r="N110" s="40">
        <f>IF(J110&gt;0,1,0)</f>
        <v>0</v>
      </c>
    </row>
    <row r="111" spans="1:14" x14ac:dyDescent="0.25">
      <c r="A111" s="37" t="s">
        <v>176</v>
      </c>
      <c r="B111" s="37" t="s">
        <v>177</v>
      </c>
      <c r="J111" s="89">
        <f>I111*DATAARK!$B$4</f>
        <v>0</v>
      </c>
      <c r="K111" s="89">
        <f>J111*DATAARK!$C$4</f>
        <v>0</v>
      </c>
      <c r="N111" s="40">
        <f>IF(J111&gt;0,1,0)</f>
        <v>0</v>
      </c>
    </row>
    <row r="112" spans="1:14" x14ac:dyDescent="0.25">
      <c r="A112" s="38" t="s">
        <v>178</v>
      </c>
      <c r="B112" s="38" t="s">
        <v>179</v>
      </c>
      <c r="C112" s="71">
        <v>-137073.81</v>
      </c>
      <c r="D112" s="71">
        <v>-320957.01</v>
      </c>
      <c r="E112" s="71">
        <v>57.29</v>
      </c>
      <c r="F112" s="71">
        <v>42.71</v>
      </c>
      <c r="G112" s="71">
        <v>-183883.2</v>
      </c>
      <c r="H112" s="71">
        <v>-233132.39</v>
      </c>
      <c r="I112" s="90">
        <f>I110+I111</f>
        <v>-233132.39</v>
      </c>
      <c r="J112" s="127">
        <f>J110+J111</f>
        <v>-233132.39</v>
      </c>
      <c r="K112" s="90">
        <f>K110+K111</f>
        <v>-233132.39</v>
      </c>
    </row>
    <row r="113" spans="1:14" x14ac:dyDescent="0.25">
      <c r="A113" s="37" t="s">
        <v>12</v>
      </c>
      <c r="B113" s="37" t="s">
        <v>12</v>
      </c>
    </row>
    <row r="114" spans="1:14" x14ac:dyDescent="0.25">
      <c r="A114" s="38" t="s">
        <v>180</v>
      </c>
      <c r="B114" s="38" t="s">
        <v>181</v>
      </c>
      <c r="C114" s="71"/>
      <c r="D114" s="71"/>
      <c r="E114" s="71"/>
      <c r="F114" s="71"/>
      <c r="G114" s="71"/>
      <c r="H114" s="71"/>
      <c r="I114" s="90"/>
      <c r="K114" s="89"/>
    </row>
    <row r="115" spans="1:14" x14ac:dyDescent="0.25">
      <c r="A115" s="37" t="s">
        <v>182</v>
      </c>
      <c r="B115" s="37" t="s">
        <v>183</v>
      </c>
      <c r="D115" s="70">
        <v>600000</v>
      </c>
      <c r="E115" s="70">
        <v>100</v>
      </c>
      <c r="G115" s="70">
        <v>600000</v>
      </c>
      <c r="J115" s="89">
        <f>I115*DATAARK!$B$4</f>
        <v>0</v>
      </c>
      <c r="K115" s="89">
        <f>J115*DATAARK!$C$4</f>
        <v>0</v>
      </c>
      <c r="N115" s="40">
        <f t="shared" ref="N115:N121" si="3">IF(J115&gt;0,0,2)</f>
        <v>2</v>
      </c>
    </row>
    <row r="116" spans="1:14" x14ac:dyDescent="0.25">
      <c r="A116" s="37" t="s">
        <v>184</v>
      </c>
      <c r="B116" s="37" t="s">
        <v>185</v>
      </c>
      <c r="H116" s="70">
        <v>0</v>
      </c>
      <c r="I116" s="103">
        <f>C116*4</f>
        <v>0</v>
      </c>
      <c r="J116" s="89">
        <f>I116*DATAARK!$B$4</f>
        <v>0</v>
      </c>
      <c r="K116" s="89">
        <f>J116*DATAARK!$C$4</f>
        <v>0</v>
      </c>
      <c r="N116" s="40">
        <f t="shared" si="3"/>
        <v>2</v>
      </c>
    </row>
    <row r="117" spans="1:14" x14ac:dyDescent="0.25">
      <c r="A117" s="37" t="s">
        <v>186</v>
      </c>
      <c r="B117" s="37" t="s">
        <v>187</v>
      </c>
      <c r="J117" s="89">
        <f>I117*DATAARK!$B$4</f>
        <v>0</v>
      </c>
      <c r="K117" s="89">
        <f>J117*DATAARK!$C$4</f>
        <v>0</v>
      </c>
      <c r="N117" s="40">
        <f t="shared" si="3"/>
        <v>2</v>
      </c>
    </row>
    <row r="118" spans="1:14" x14ac:dyDescent="0.25">
      <c r="A118" s="37" t="s">
        <v>188</v>
      </c>
      <c r="B118" s="37" t="s">
        <v>189</v>
      </c>
      <c r="J118" s="89">
        <f>I118*DATAARK!$B$4</f>
        <v>0</v>
      </c>
      <c r="K118" s="89">
        <f>J118*DATAARK!$C$4</f>
        <v>0</v>
      </c>
      <c r="N118" s="40">
        <f t="shared" si="3"/>
        <v>2</v>
      </c>
    </row>
    <row r="119" spans="1:14" x14ac:dyDescent="0.25">
      <c r="A119" s="37" t="s">
        <v>190</v>
      </c>
      <c r="B119" s="37" t="s">
        <v>191</v>
      </c>
      <c r="J119" s="89">
        <f>I119*DATAARK!$B$4</f>
        <v>0</v>
      </c>
      <c r="K119" s="89">
        <f>J119*DATAARK!$C$4</f>
        <v>0</v>
      </c>
      <c r="N119" s="40">
        <f t="shared" si="3"/>
        <v>2</v>
      </c>
    </row>
    <row r="120" spans="1:14" x14ac:dyDescent="0.25">
      <c r="A120" s="37" t="s">
        <v>192</v>
      </c>
      <c r="B120" s="37" t="s">
        <v>193</v>
      </c>
      <c r="J120" s="89">
        <f>I120*DATAARK!$B$4</f>
        <v>0</v>
      </c>
      <c r="K120" s="89">
        <f>J120*DATAARK!$C$4</f>
        <v>0</v>
      </c>
      <c r="N120" s="40">
        <f t="shared" si="3"/>
        <v>2</v>
      </c>
    </row>
    <row r="121" spans="1:14" x14ac:dyDescent="0.25">
      <c r="A121" s="37" t="s">
        <v>194</v>
      </c>
      <c r="B121" s="37" t="s">
        <v>195</v>
      </c>
      <c r="J121" s="89">
        <f>I121*DATAARK!$B$4</f>
        <v>0</v>
      </c>
      <c r="K121" s="89">
        <f>J121*DATAARK!$C$4</f>
        <v>0</v>
      </c>
      <c r="N121" s="40">
        <f t="shared" si="3"/>
        <v>2</v>
      </c>
    </row>
    <row r="122" spans="1:14" x14ac:dyDescent="0.25">
      <c r="A122" s="38" t="s">
        <v>196</v>
      </c>
      <c r="B122" s="38" t="s">
        <v>197</v>
      </c>
      <c r="C122" s="71"/>
      <c r="D122" s="71">
        <v>600000</v>
      </c>
      <c r="E122" s="71">
        <v>100</v>
      </c>
      <c r="F122" s="71"/>
      <c r="G122" s="71">
        <v>600000</v>
      </c>
      <c r="H122" s="71">
        <v>0</v>
      </c>
      <c r="I122" s="90">
        <f>SUM(I115:I121)</f>
        <v>0</v>
      </c>
      <c r="J122" s="127">
        <f>SUM(J115:J121)</f>
        <v>0</v>
      </c>
      <c r="K122" s="90">
        <f>SUM(K115:K121)</f>
        <v>0</v>
      </c>
    </row>
    <row r="123" spans="1:14" x14ac:dyDescent="0.25">
      <c r="A123" s="38" t="s">
        <v>198</v>
      </c>
      <c r="B123" s="38" t="s">
        <v>199</v>
      </c>
      <c r="C123" s="71">
        <v>-909562.75</v>
      </c>
      <c r="D123" s="71">
        <v>-1287982.3999999999</v>
      </c>
      <c r="E123" s="71">
        <v>29.38</v>
      </c>
      <c r="F123" s="71">
        <v>70.62</v>
      </c>
      <c r="G123" s="71">
        <v>-378419.65</v>
      </c>
      <c r="H123" s="71">
        <v>-1604499.3900000001</v>
      </c>
      <c r="I123" s="90">
        <f>I122+I112+I107</f>
        <v>-1604499.3900000001</v>
      </c>
      <c r="J123" s="127">
        <f>J122+J112+J107</f>
        <v>-1604499.3900000001</v>
      </c>
      <c r="K123" s="90">
        <f>K122+K112+K107</f>
        <v>-1604499.3900000001</v>
      </c>
    </row>
    <row r="124" spans="1:14" x14ac:dyDescent="0.25">
      <c r="A124" s="37" t="s">
        <v>12</v>
      </c>
      <c r="B124" s="37" t="s">
        <v>12</v>
      </c>
    </row>
    <row r="125" spans="1:14" x14ac:dyDescent="0.25">
      <c r="A125" s="38" t="s">
        <v>200</v>
      </c>
      <c r="B125" s="38" t="s">
        <v>201</v>
      </c>
      <c r="C125" s="71">
        <v>-915059.15</v>
      </c>
      <c r="D125" s="71">
        <v>-1287982.3999999999</v>
      </c>
      <c r="E125" s="71">
        <v>28.95</v>
      </c>
      <c r="F125" s="71">
        <v>71.05</v>
      </c>
      <c r="G125" s="71">
        <v>-372923.25</v>
      </c>
      <c r="H125" s="71">
        <v>-1609995.79</v>
      </c>
      <c r="I125" s="90">
        <f>I123+I82+I77</f>
        <v>-1609995.79</v>
      </c>
      <c r="J125" s="127">
        <f>J123+J82+J77</f>
        <v>-1609995.79</v>
      </c>
      <c r="K125" s="90">
        <f>K123+K82+K77</f>
        <v>-1609995.79</v>
      </c>
    </row>
    <row r="126" spans="1:14" x14ac:dyDescent="0.25">
      <c r="A126" s="37" t="s">
        <v>12</v>
      </c>
      <c r="B126" s="37" t="s">
        <v>12</v>
      </c>
    </row>
    <row r="127" spans="1:14" x14ac:dyDescent="0.25">
      <c r="A127" s="38" t="s">
        <v>202</v>
      </c>
      <c r="B127" s="38" t="s">
        <v>203</v>
      </c>
      <c r="C127" s="71">
        <v>1852114.75</v>
      </c>
      <c r="D127" s="71">
        <v>1959850.6</v>
      </c>
      <c r="E127" s="71">
        <v>5.5</v>
      </c>
      <c r="F127" s="71">
        <v>94.5</v>
      </c>
      <c r="G127" s="71">
        <v>107735.85</v>
      </c>
      <c r="H127" s="71">
        <v>1637837.21</v>
      </c>
      <c r="I127" s="90">
        <f>I125+I65</f>
        <v>1431504.21</v>
      </c>
      <c r="J127" s="127">
        <f>J125+J65</f>
        <v>1431504.21</v>
      </c>
      <c r="K127" s="90">
        <f>K125+K65</f>
        <v>1431504.21</v>
      </c>
    </row>
    <row r="128" spans="1:14" x14ac:dyDescent="0.25">
      <c r="A128" s="37" t="s">
        <v>12</v>
      </c>
      <c r="B128" s="37" t="s">
        <v>12</v>
      </c>
    </row>
    <row r="129" spans="1:14" x14ac:dyDescent="0.25">
      <c r="A129" s="38" t="s">
        <v>204</v>
      </c>
      <c r="B129" s="38" t="s">
        <v>205</v>
      </c>
      <c r="C129" s="71"/>
      <c r="D129" s="71"/>
      <c r="E129" s="71"/>
      <c r="F129" s="71"/>
      <c r="G129" s="71"/>
      <c r="H129" s="71"/>
      <c r="I129" s="90"/>
      <c r="J129" s="127"/>
      <c r="K129" s="90"/>
    </row>
    <row r="130" spans="1:14" x14ac:dyDescent="0.25">
      <c r="A130" s="37" t="s">
        <v>206</v>
      </c>
      <c r="B130" s="37" t="s">
        <v>207</v>
      </c>
      <c r="J130" s="89">
        <f>I130*DATAARK!$B$3</f>
        <v>0</v>
      </c>
      <c r="K130" s="89">
        <f>J130*DATAARK!$C$3</f>
        <v>0</v>
      </c>
      <c r="N130" s="40">
        <f t="shared" ref="N130:N136" si="4">IF(J130&gt;0,0,2)</f>
        <v>2</v>
      </c>
    </row>
    <row r="131" spans="1:14" x14ac:dyDescent="0.25">
      <c r="A131" s="37" t="s">
        <v>208</v>
      </c>
      <c r="B131" s="37" t="s">
        <v>209</v>
      </c>
      <c r="J131" s="89">
        <f>I131*DATAARK!$B$3</f>
        <v>0</v>
      </c>
      <c r="K131" s="89">
        <f>J131*DATAARK!$C$3</f>
        <v>0</v>
      </c>
      <c r="N131" s="40">
        <f t="shared" si="4"/>
        <v>2</v>
      </c>
    </row>
    <row r="132" spans="1:14" x14ac:dyDescent="0.25">
      <c r="A132" s="37" t="s">
        <v>210</v>
      </c>
      <c r="B132" s="37" t="s">
        <v>211</v>
      </c>
      <c r="J132" s="89">
        <f>I132*DATAARK!$B$3</f>
        <v>0</v>
      </c>
      <c r="K132" s="89">
        <f>J132*DATAARK!$C$3</f>
        <v>0</v>
      </c>
      <c r="N132" s="40">
        <f t="shared" si="4"/>
        <v>2</v>
      </c>
    </row>
    <row r="133" spans="1:14" x14ac:dyDescent="0.25">
      <c r="A133" s="37" t="s">
        <v>212</v>
      </c>
      <c r="B133" s="37" t="s">
        <v>213</v>
      </c>
      <c r="J133" s="89">
        <f>I133*DATAARK!$B$3</f>
        <v>0</v>
      </c>
      <c r="K133" s="89">
        <f>J133*DATAARK!$C$3</f>
        <v>0</v>
      </c>
      <c r="N133" s="40">
        <f t="shared" si="4"/>
        <v>2</v>
      </c>
    </row>
    <row r="134" spans="1:14" x14ac:dyDescent="0.25">
      <c r="A134" s="37" t="s">
        <v>214</v>
      </c>
      <c r="B134" s="37" t="s">
        <v>215</v>
      </c>
      <c r="J134" s="89">
        <f>I134*DATAARK!$B$3</f>
        <v>0</v>
      </c>
      <c r="K134" s="89">
        <f>J134*DATAARK!$C$3</f>
        <v>0</v>
      </c>
      <c r="N134" s="40">
        <f t="shared" si="4"/>
        <v>2</v>
      </c>
    </row>
    <row r="135" spans="1:14" x14ac:dyDescent="0.25">
      <c r="A135" s="37" t="s">
        <v>216</v>
      </c>
      <c r="B135" s="37" t="s">
        <v>217</v>
      </c>
      <c r="J135" s="89">
        <f>I135*DATAARK!$B$3</f>
        <v>0</v>
      </c>
      <c r="K135" s="89">
        <f>J135*DATAARK!$C$3</f>
        <v>0</v>
      </c>
      <c r="N135" s="40">
        <f t="shared" si="4"/>
        <v>2</v>
      </c>
    </row>
    <row r="136" spans="1:14" x14ac:dyDescent="0.25">
      <c r="A136" s="38" t="s">
        <v>218</v>
      </c>
      <c r="B136" s="38" t="s">
        <v>219</v>
      </c>
      <c r="C136" s="71"/>
      <c r="D136" s="71"/>
      <c r="E136" s="71"/>
      <c r="F136" s="71"/>
      <c r="G136" s="71"/>
      <c r="H136" s="71">
        <v>0</v>
      </c>
      <c r="I136" s="90">
        <f>SUM(I130:I135)</f>
        <v>0</v>
      </c>
      <c r="J136" s="127">
        <f>SUM(J130:J135)</f>
        <v>0</v>
      </c>
      <c r="K136" s="90">
        <f>SUM(K130:K135)</f>
        <v>0</v>
      </c>
      <c r="N136" s="40">
        <f t="shared" si="4"/>
        <v>2</v>
      </c>
    </row>
    <row r="137" spans="1:14" x14ac:dyDescent="0.25">
      <c r="A137" s="37" t="s">
        <v>12</v>
      </c>
      <c r="B137" s="37" t="s">
        <v>12</v>
      </c>
    </row>
    <row r="138" spans="1:14" x14ac:dyDescent="0.25">
      <c r="A138" s="38" t="s">
        <v>220</v>
      </c>
      <c r="B138" s="38" t="s">
        <v>221</v>
      </c>
      <c r="C138" s="71"/>
      <c r="D138" s="71"/>
      <c r="E138" s="71"/>
      <c r="F138" s="71"/>
      <c r="G138" s="71"/>
      <c r="H138" s="71"/>
      <c r="I138" s="90"/>
      <c r="J138" s="127"/>
      <c r="K138" s="90"/>
    </row>
    <row r="139" spans="1:14" x14ac:dyDescent="0.25">
      <c r="A139" s="37" t="s">
        <v>222</v>
      </c>
      <c r="B139" s="37" t="s">
        <v>223</v>
      </c>
      <c r="J139" s="89">
        <f>I139*DATAARK!$B$3</f>
        <v>0</v>
      </c>
      <c r="K139" s="89">
        <f>J139*DATAARK!$C$3</f>
        <v>0</v>
      </c>
      <c r="N139" s="40">
        <f>IF(J139&gt;0,1,0)</f>
        <v>0</v>
      </c>
    </row>
    <row r="140" spans="1:14" x14ac:dyDescent="0.25">
      <c r="A140" s="37" t="s">
        <v>224</v>
      </c>
      <c r="B140" s="37" t="s">
        <v>225</v>
      </c>
      <c r="J140" s="89">
        <f>I140*DATAARK!$B$3</f>
        <v>0</v>
      </c>
      <c r="K140" s="89">
        <f>J140*DATAARK!$C$3</f>
        <v>0</v>
      </c>
      <c r="N140" s="40">
        <f t="shared" ref="N140:N203" si="5">IF(J140&gt;0,1,0)</f>
        <v>0</v>
      </c>
    </row>
    <row r="141" spans="1:14" x14ac:dyDescent="0.25">
      <c r="A141" s="37" t="s">
        <v>226</v>
      </c>
      <c r="B141" s="37" t="s">
        <v>227</v>
      </c>
      <c r="J141" s="89">
        <f>I141*DATAARK!$B$3</f>
        <v>0</v>
      </c>
      <c r="K141" s="89">
        <f>J141*DATAARK!$C$3</f>
        <v>0</v>
      </c>
      <c r="N141" s="40">
        <f t="shared" si="5"/>
        <v>0</v>
      </c>
    </row>
    <row r="142" spans="1:14" x14ac:dyDescent="0.25">
      <c r="A142" s="37" t="s">
        <v>228</v>
      </c>
      <c r="B142" s="37" t="s">
        <v>229</v>
      </c>
      <c r="J142" s="89">
        <f>I142*DATAARK!$B$3</f>
        <v>0</v>
      </c>
      <c r="K142" s="89">
        <f>J142*DATAARK!$C$3</f>
        <v>0</v>
      </c>
      <c r="N142" s="40">
        <f t="shared" si="5"/>
        <v>0</v>
      </c>
    </row>
    <row r="143" spans="1:14" x14ac:dyDescent="0.25">
      <c r="A143" s="37" t="s">
        <v>230</v>
      </c>
      <c r="B143" s="37" t="s">
        <v>231</v>
      </c>
      <c r="C143" s="70">
        <v>-1180.8</v>
      </c>
      <c r="G143" s="70">
        <v>1180.8</v>
      </c>
      <c r="H143" s="70">
        <v>-1180.8</v>
      </c>
      <c r="J143" s="89">
        <f>I143*DATAARK!$B$3</f>
        <v>0</v>
      </c>
      <c r="K143" s="89">
        <f>J143*DATAARK!$C$3</f>
        <v>0</v>
      </c>
      <c r="N143" s="40">
        <f t="shared" si="5"/>
        <v>0</v>
      </c>
    </row>
    <row r="144" spans="1:14" x14ac:dyDescent="0.25">
      <c r="A144" s="37" t="s">
        <v>232</v>
      </c>
      <c r="B144" s="37" t="s">
        <v>233</v>
      </c>
      <c r="C144" s="70">
        <v>-563.55999999999995</v>
      </c>
      <c r="D144" s="70">
        <v>-10000</v>
      </c>
      <c r="E144" s="70">
        <v>94.36</v>
      </c>
      <c r="F144" s="70">
        <v>5.64</v>
      </c>
      <c r="G144" s="70">
        <v>-9436.44</v>
      </c>
      <c r="H144" s="70">
        <v>-10000</v>
      </c>
      <c r="I144" s="103">
        <v>-10000</v>
      </c>
      <c r="J144" s="89">
        <f>I144*DATAARK!$B$3</f>
        <v>-10000</v>
      </c>
      <c r="K144" s="89">
        <f>J144*DATAARK!$C$3</f>
        <v>-10000</v>
      </c>
      <c r="N144" s="40">
        <f t="shared" si="5"/>
        <v>0</v>
      </c>
    </row>
    <row r="145" spans="1:14" x14ac:dyDescent="0.25">
      <c r="A145" s="37" t="s">
        <v>234</v>
      </c>
      <c r="B145" s="37" t="s">
        <v>235</v>
      </c>
      <c r="J145" s="89">
        <f>I145*DATAARK!$B$3</f>
        <v>0</v>
      </c>
      <c r="K145" s="89">
        <f>J145*DATAARK!$C$3</f>
        <v>0</v>
      </c>
      <c r="N145" s="40">
        <f t="shared" si="5"/>
        <v>0</v>
      </c>
    </row>
    <row r="146" spans="1:14" x14ac:dyDescent="0.25">
      <c r="A146" s="37" t="s">
        <v>236</v>
      </c>
      <c r="B146" s="37" t="s">
        <v>237</v>
      </c>
      <c r="C146" s="70">
        <v>-5012</v>
      </c>
      <c r="D146" s="70">
        <v>-5000</v>
      </c>
      <c r="E146" s="70">
        <v>-0.24</v>
      </c>
      <c r="F146" s="70">
        <v>100.24</v>
      </c>
      <c r="G146" s="70">
        <v>12</v>
      </c>
      <c r="H146" s="70">
        <v>-5012</v>
      </c>
      <c r="I146" s="103">
        <v>-5000</v>
      </c>
      <c r="J146" s="89">
        <f>I146*DATAARK!$B$3</f>
        <v>-5000</v>
      </c>
      <c r="K146" s="89">
        <f>J146*DATAARK!$C$3</f>
        <v>-5000</v>
      </c>
      <c r="N146" s="40">
        <f t="shared" si="5"/>
        <v>0</v>
      </c>
    </row>
    <row r="147" spans="1:14" x14ac:dyDescent="0.25">
      <c r="A147" s="37" t="s">
        <v>238</v>
      </c>
      <c r="B147" s="37" t="s">
        <v>239</v>
      </c>
      <c r="C147" s="70">
        <v>-505.6</v>
      </c>
      <c r="D147" s="70">
        <v>-8000</v>
      </c>
      <c r="E147" s="70">
        <v>93.68</v>
      </c>
      <c r="F147" s="70">
        <v>6.32</v>
      </c>
      <c r="G147" s="70">
        <v>-7494.4</v>
      </c>
      <c r="H147" s="70">
        <v>-8000</v>
      </c>
      <c r="I147" s="103">
        <v>-4000</v>
      </c>
      <c r="J147" s="89">
        <f>I147*DATAARK!$B$3</f>
        <v>-4000</v>
      </c>
      <c r="K147" s="89">
        <f>J147*DATAARK!$C$3</f>
        <v>-4000</v>
      </c>
      <c r="N147" s="40">
        <f t="shared" si="5"/>
        <v>0</v>
      </c>
    </row>
    <row r="148" spans="1:14" x14ac:dyDescent="0.25">
      <c r="A148" s="37" t="s">
        <v>240</v>
      </c>
      <c r="B148" s="37" t="s">
        <v>241</v>
      </c>
      <c r="J148" s="89">
        <f>I148*DATAARK!$B$3</f>
        <v>0</v>
      </c>
      <c r="K148" s="89">
        <f>J148*DATAARK!$C$3</f>
        <v>0</v>
      </c>
      <c r="N148" s="40">
        <f t="shared" si="5"/>
        <v>0</v>
      </c>
    </row>
    <row r="149" spans="1:14" x14ac:dyDescent="0.25">
      <c r="A149" s="37" t="s">
        <v>242</v>
      </c>
      <c r="B149" s="37" t="s">
        <v>243</v>
      </c>
      <c r="D149" s="70">
        <v>-37660</v>
      </c>
      <c r="E149" s="70">
        <v>100</v>
      </c>
      <c r="G149" s="70">
        <v>-37660</v>
      </c>
      <c r="H149" s="70">
        <v>-37660</v>
      </c>
      <c r="J149" s="89">
        <f>I149*DATAARK!$B$3</f>
        <v>0</v>
      </c>
      <c r="K149" s="89">
        <f>J149*DATAARK!$C$3</f>
        <v>0</v>
      </c>
      <c r="N149" s="40">
        <f t="shared" si="5"/>
        <v>0</v>
      </c>
    </row>
    <row r="150" spans="1:14" x14ac:dyDescent="0.25">
      <c r="A150" s="37" t="s">
        <v>244</v>
      </c>
      <c r="B150" s="37" t="s">
        <v>245</v>
      </c>
      <c r="J150" s="89">
        <f>I150*DATAARK!$B$3</f>
        <v>0</v>
      </c>
      <c r="K150" s="89">
        <f>J150*DATAARK!$C$3</f>
        <v>0</v>
      </c>
      <c r="N150" s="40">
        <f t="shared" si="5"/>
        <v>0</v>
      </c>
    </row>
    <row r="151" spans="1:14" x14ac:dyDescent="0.25">
      <c r="A151" s="37" t="s">
        <v>246</v>
      </c>
      <c r="B151" s="37" t="s">
        <v>247</v>
      </c>
      <c r="C151" s="70">
        <v>-3398.24</v>
      </c>
      <c r="D151" s="70">
        <v>-130000</v>
      </c>
      <c r="E151" s="70">
        <v>97.39</v>
      </c>
      <c r="F151" s="70">
        <v>2.61</v>
      </c>
      <c r="G151" s="70">
        <v>-126601.76</v>
      </c>
      <c r="H151" s="70">
        <v>-3398.24</v>
      </c>
      <c r="K151" s="89"/>
      <c r="N151" s="40">
        <f t="shared" si="5"/>
        <v>0</v>
      </c>
    </row>
    <row r="152" spans="1:14" x14ac:dyDescent="0.25">
      <c r="A152" s="37" t="s">
        <v>248</v>
      </c>
      <c r="B152" s="37" t="s">
        <v>249</v>
      </c>
      <c r="C152" s="70">
        <v>-5692</v>
      </c>
      <c r="D152" s="70">
        <v>-20000</v>
      </c>
      <c r="E152" s="70">
        <v>71.540000000000006</v>
      </c>
      <c r="F152" s="70">
        <v>28.46</v>
      </c>
      <c r="G152" s="70">
        <v>-14308</v>
      </c>
      <c r="H152" s="70">
        <v>-20000</v>
      </c>
      <c r="I152" s="103">
        <v>-20000</v>
      </c>
      <c r="J152" s="89">
        <f>I152*DATAARK!$B$3</f>
        <v>-20000</v>
      </c>
      <c r="K152" s="89">
        <f>J152*DATAARK!$C$3</f>
        <v>-20000</v>
      </c>
      <c r="N152" s="40">
        <f t="shared" si="5"/>
        <v>0</v>
      </c>
    </row>
    <row r="153" spans="1:14" x14ac:dyDescent="0.25">
      <c r="A153" s="37" t="s">
        <v>250</v>
      </c>
      <c r="B153" s="37" t="s">
        <v>251</v>
      </c>
      <c r="J153" s="89">
        <f>I153*DATAARK!$B$3</f>
        <v>0</v>
      </c>
      <c r="K153" s="89">
        <f>J153*DATAARK!$C$3</f>
        <v>0</v>
      </c>
      <c r="N153" s="40">
        <f t="shared" si="5"/>
        <v>0</v>
      </c>
    </row>
    <row r="154" spans="1:14" x14ac:dyDescent="0.25">
      <c r="A154" s="37" t="s">
        <v>252</v>
      </c>
      <c r="B154" s="37" t="s">
        <v>253</v>
      </c>
      <c r="J154" s="89">
        <f>I154*DATAARK!$B$3</f>
        <v>0</v>
      </c>
      <c r="K154" s="89">
        <f>J154*DATAARK!$C$3</f>
        <v>0</v>
      </c>
      <c r="N154" s="40">
        <f t="shared" si="5"/>
        <v>0</v>
      </c>
    </row>
    <row r="155" spans="1:14" x14ac:dyDescent="0.25">
      <c r="A155" s="37" t="s">
        <v>254</v>
      </c>
      <c r="B155" s="37" t="s">
        <v>255</v>
      </c>
      <c r="J155" s="89">
        <f>I155*DATAARK!$B$3</f>
        <v>0</v>
      </c>
      <c r="K155" s="89">
        <f>J155*DATAARK!$C$3</f>
        <v>0</v>
      </c>
      <c r="N155" s="40">
        <f t="shared" si="5"/>
        <v>0</v>
      </c>
    </row>
    <row r="156" spans="1:14" x14ac:dyDescent="0.25">
      <c r="A156" s="37" t="s">
        <v>256</v>
      </c>
      <c r="B156" s="37" t="s">
        <v>257</v>
      </c>
      <c r="J156" s="89">
        <f>I156*DATAARK!$B$3</f>
        <v>0</v>
      </c>
      <c r="K156" s="89">
        <f>J156*DATAARK!$C$3</f>
        <v>0</v>
      </c>
      <c r="N156" s="40">
        <f t="shared" si="5"/>
        <v>0</v>
      </c>
    </row>
    <row r="157" spans="1:14" x14ac:dyDescent="0.25">
      <c r="A157" s="37" t="s">
        <v>258</v>
      </c>
      <c r="B157" s="37" t="s">
        <v>259</v>
      </c>
      <c r="J157" s="89">
        <f>I157*DATAARK!$B$3</f>
        <v>0</v>
      </c>
      <c r="K157" s="89">
        <f>J157*DATAARK!$C$3</f>
        <v>0</v>
      </c>
      <c r="N157" s="40">
        <f t="shared" si="5"/>
        <v>0</v>
      </c>
    </row>
    <row r="158" spans="1:14" x14ac:dyDescent="0.25">
      <c r="A158" s="37" t="s">
        <v>260</v>
      </c>
      <c r="B158" s="37" t="s">
        <v>261</v>
      </c>
      <c r="J158" s="89">
        <f>I158*DATAARK!$B$3</f>
        <v>0</v>
      </c>
      <c r="K158" s="89">
        <f>J158*DATAARK!$C$3</f>
        <v>0</v>
      </c>
      <c r="N158" s="40">
        <f t="shared" si="5"/>
        <v>0</v>
      </c>
    </row>
    <row r="159" spans="1:14" x14ac:dyDescent="0.25">
      <c r="A159" s="37" t="s">
        <v>262</v>
      </c>
      <c r="B159" s="37" t="s">
        <v>263</v>
      </c>
      <c r="C159" s="70">
        <v>-358.7</v>
      </c>
      <c r="G159" s="70">
        <v>358.7</v>
      </c>
      <c r="H159" s="70">
        <v>-358.7</v>
      </c>
      <c r="J159" s="89">
        <f>I159*DATAARK!$B$3</f>
        <v>0</v>
      </c>
      <c r="K159" s="89">
        <f>J159*DATAARK!$C$3</f>
        <v>0</v>
      </c>
      <c r="N159" s="40">
        <f t="shared" si="5"/>
        <v>0</v>
      </c>
    </row>
    <row r="160" spans="1:14" x14ac:dyDescent="0.25">
      <c r="A160" s="37" t="s">
        <v>264</v>
      </c>
      <c r="B160" s="37" t="s">
        <v>265</v>
      </c>
      <c r="J160" s="89">
        <f>I160*DATAARK!$B$3</f>
        <v>0</v>
      </c>
      <c r="K160" s="89">
        <f>J160*DATAARK!$C$3</f>
        <v>0</v>
      </c>
      <c r="N160" s="40">
        <f t="shared" si="5"/>
        <v>0</v>
      </c>
    </row>
    <row r="161" spans="1:14" x14ac:dyDescent="0.25">
      <c r="A161" s="37" t="s">
        <v>266</v>
      </c>
      <c r="B161" s="37" t="s">
        <v>267</v>
      </c>
      <c r="J161" s="89">
        <f>I161*DATAARK!$B$3</f>
        <v>0</v>
      </c>
      <c r="K161" s="89">
        <f>J161*DATAARK!$C$3</f>
        <v>0</v>
      </c>
      <c r="N161" s="40">
        <f t="shared" si="5"/>
        <v>0</v>
      </c>
    </row>
    <row r="162" spans="1:14" x14ac:dyDescent="0.25">
      <c r="A162" s="37" t="s">
        <v>268</v>
      </c>
      <c r="B162" s="37" t="s">
        <v>269</v>
      </c>
      <c r="C162" s="70">
        <v>-319835.71999999997</v>
      </c>
      <c r="D162" s="70">
        <v>-400000</v>
      </c>
      <c r="E162" s="70">
        <v>20.04</v>
      </c>
      <c r="F162" s="70">
        <v>79.959999999999994</v>
      </c>
      <c r="G162" s="70">
        <v>-80164.28</v>
      </c>
      <c r="H162" s="70">
        <v>-639671.43999999994</v>
      </c>
      <c r="I162" s="103">
        <f>C162*2</f>
        <v>-639671.43999999994</v>
      </c>
      <c r="J162" s="89">
        <f>I162*DATAARK!$B$3</f>
        <v>-639671.43999999994</v>
      </c>
      <c r="K162" s="89">
        <f>J162*DATAARK!$C$3</f>
        <v>-639671.43999999994</v>
      </c>
      <c r="N162" s="40">
        <f t="shared" si="5"/>
        <v>0</v>
      </c>
    </row>
    <row r="163" spans="1:14" x14ac:dyDescent="0.25">
      <c r="A163" s="37" t="s">
        <v>270</v>
      </c>
      <c r="B163" s="37" t="s">
        <v>271</v>
      </c>
      <c r="C163" s="70">
        <v>-4841.38</v>
      </c>
      <c r="D163" s="70">
        <v>-15000</v>
      </c>
      <c r="E163" s="70">
        <v>67.72</v>
      </c>
      <c r="F163" s="70">
        <v>32.28</v>
      </c>
      <c r="G163" s="70">
        <v>-10158.620000000001</v>
      </c>
      <c r="H163" s="70">
        <v>-15000</v>
      </c>
      <c r="I163" s="103">
        <v>-15000</v>
      </c>
      <c r="J163" s="89">
        <f>I163*DATAARK!$B$3</f>
        <v>-15000</v>
      </c>
      <c r="K163" s="89">
        <f>J163*DATAARK!$C$3</f>
        <v>-15000</v>
      </c>
      <c r="N163" s="40">
        <f t="shared" si="5"/>
        <v>0</v>
      </c>
    </row>
    <row r="164" spans="1:14" x14ac:dyDescent="0.25">
      <c r="A164" s="37" t="s">
        <v>272</v>
      </c>
      <c r="B164" s="37" t="s">
        <v>273</v>
      </c>
      <c r="C164" s="70">
        <v>-141326.01</v>
      </c>
      <c r="D164" s="70">
        <v>-110000</v>
      </c>
      <c r="E164" s="70">
        <v>-28.48</v>
      </c>
      <c r="F164" s="70">
        <v>128.47999999999999</v>
      </c>
      <c r="G164" s="70">
        <v>31326.01</v>
      </c>
      <c r="H164" s="70">
        <v>-282652.02</v>
      </c>
      <c r="I164" s="103">
        <f>C164*2</f>
        <v>-282652.02</v>
      </c>
      <c r="J164" s="89">
        <f>I164*DATAARK!$B$3</f>
        <v>-282652.02</v>
      </c>
      <c r="K164" s="89">
        <f>J164*DATAARK!$C$3</f>
        <v>-282652.02</v>
      </c>
      <c r="N164" s="40">
        <f t="shared" si="5"/>
        <v>0</v>
      </c>
    </row>
    <row r="165" spans="1:14" x14ac:dyDescent="0.25">
      <c r="A165" s="37" t="s">
        <v>274</v>
      </c>
      <c r="B165" s="37" t="s">
        <v>275</v>
      </c>
      <c r="J165" s="89">
        <f>I165*DATAARK!$B$3</f>
        <v>0</v>
      </c>
      <c r="K165" s="89">
        <f>J165*DATAARK!$C$3</f>
        <v>0</v>
      </c>
      <c r="N165" s="40">
        <f t="shared" si="5"/>
        <v>0</v>
      </c>
    </row>
    <row r="166" spans="1:14" x14ac:dyDescent="0.25">
      <c r="A166" s="37" t="s">
        <v>276</v>
      </c>
      <c r="B166" s="37" t="s">
        <v>277</v>
      </c>
      <c r="C166" s="70">
        <v>-407.85</v>
      </c>
      <c r="G166" s="70">
        <v>407.85</v>
      </c>
      <c r="H166" s="70">
        <v>-407.85</v>
      </c>
      <c r="I166" s="103">
        <f>C166</f>
        <v>-407.85</v>
      </c>
      <c r="J166" s="89">
        <f>I166*DATAARK!$B$3</f>
        <v>-407.85</v>
      </c>
      <c r="K166" s="89">
        <f>J166*DATAARK!$C$3</f>
        <v>-407.85</v>
      </c>
      <c r="N166" s="40">
        <f t="shared" si="5"/>
        <v>0</v>
      </c>
    </row>
    <row r="167" spans="1:14" x14ac:dyDescent="0.25">
      <c r="A167" s="37" t="s">
        <v>278</v>
      </c>
      <c r="B167" s="37" t="s">
        <v>279</v>
      </c>
      <c r="C167" s="70">
        <v>229516.88</v>
      </c>
      <c r="G167" s="70">
        <v>-229516.88</v>
      </c>
      <c r="H167" s="70">
        <v>459033.76</v>
      </c>
      <c r="I167" s="103">
        <f>C167*2</f>
        <v>459033.76</v>
      </c>
      <c r="J167" s="89">
        <f>I167*DATAARK!$B$3</f>
        <v>459033.76</v>
      </c>
      <c r="K167" s="89">
        <f>J167*DATAARK!$C$3</f>
        <v>459033.76</v>
      </c>
      <c r="N167" s="40">
        <f t="shared" si="5"/>
        <v>1</v>
      </c>
    </row>
    <row r="168" spans="1:14" x14ac:dyDescent="0.25">
      <c r="A168" s="37" t="s">
        <v>280</v>
      </c>
      <c r="B168" s="37" t="s">
        <v>281</v>
      </c>
      <c r="J168" s="89">
        <f>I168*DATAARK!$B$3</f>
        <v>0</v>
      </c>
      <c r="K168" s="89">
        <f>J168*DATAARK!$C$3</f>
        <v>0</v>
      </c>
      <c r="N168" s="40">
        <f t="shared" si="5"/>
        <v>0</v>
      </c>
    </row>
    <row r="169" spans="1:14" x14ac:dyDescent="0.25">
      <c r="A169" s="37" t="s">
        <v>282</v>
      </c>
      <c r="B169" s="37" t="s">
        <v>283</v>
      </c>
      <c r="J169" s="89">
        <f>I169*DATAARK!$B$3</f>
        <v>0</v>
      </c>
      <c r="K169" s="89">
        <f>J169*DATAARK!$C$3</f>
        <v>0</v>
      </c>
      <c r="N169" s="40">
        <f t="shared" si="5"/>
        <v>0</v>
      </c>
    </row>
    <row r="170" spans="1:14" x14ac:dyDescent="0.25">
      <c r="A170" s="37" t="s">
        <v>284</v>
      </c>
      <c r="B170" s="37" t="s">
        <v>285</v>
      </c>
      <c r="J170" s="89">
        <f>I170*DATAARK!$B$3</f>
        <v>0</v>
      </c>
      <c r="K170" s="89">
        <f>J170*DATAARK!$C$3</f>
        <v>0</v>
      </c>
      <c r="N170" s="40">
        <f t="shared" si="5"/>
        <v>0</v>
      </c>
    </row>
    <row r="171" spans="1:14" x14ac:dyDescent="0.25">
      <c r="A171" s="37" t="s">
        <v>286</v>
      </c>
      <c r="B171" s="37" t="s">
        <v>287</v>
      </c>
      <c r="J171" s="89">
        <f>I171*DATAARK!$B$3</f>
        <v>0</v>
      </c>
      <c r="K171" s="89">
        <f>J171*DATAARK!$C$3</f>
        <v>0</v>
      </c>
      <c r="N171" s="40">
        <f t="shared" si="5"/>
        <v>0</v>
      </c>
    </row>
    <row r="172" spans="1:14" x14ac:dyDescent="0.25">
      <c r="A172" s="37" t="s">
        <v>288</v>
      </c>
      <c r="B172" s="37" t="s">
        <v>289</v>
      </c>
      <c r="C172" s="70">
        <v>-15900</v>
      </c>
      <c r="G172" s="70">
        <v>15900</v>
      </c>
      <c r="H172" s="70">
        <v>-15900</v>
      </c>
      <c r="I172" s="103">
        <v>-15900</v>
      </c>
      <c r="J172" s="89">
        <f>I172*DATAARK!$B$3</f>
        <v>-15900</v>
      </c>
      <c r="K172" s="89">
        <f>J172*DATAARK!$C$3</f>
        <v>-15900</v>
      </c>
      <c r="N172" s="40">
        <f t="shared" si="5"/>
        <v>0</v>
      </c>
    </row>
    <row r="173" spans="1:14" x14ac:dyDescent="0.25">
      <c r="A173" s="37" t="s">
        <v>290</v>
      </c>
      <c r="B173" s="37" t="s">
        <v>291</v>
      </c>
      <c r="J173" s="89">
        <f>I173*DATAARK!$B$3</f>
        <v>0</v>
      </c>
      <c r="K173" s="89">
        <f>J173*DATAARK!$C$3</f>
        <v>0</v>
      </c>
      <c r="N173" s="40">
        <f t="shared" si="5"/>
        <v>0</v>
      </c>
    </row>
    <row r="174" spans="1:14" x14ac:dyDescent="0.25">
      <c r="A174" s="37" t="s">
        <v>292</v>
      </c>
      <c r="B174" s="37" t="s">
        <v>293</v>
      </c>
      <c r="C174" s="70">
        <v>-2196.9699999999998</v>
      </c>
      <c r="D174" s="70">
        <v>-15000</v>
      </c>
      <c r="E174" s="70">
        <v>85.35</v>
      </c>
      <c r="F174" s="70">
        <v>14.65</v>
      </c>
      <c r="G174" s="70">
        <v>-12803.03</v>
      </c>
      <c r="H174" s="70">
        <v>-15000</v>
      </c>
      <c r="I174" s="103">
        <v>-15000</v>
      </c>
      <c r="J174" s="89">
        <f>I174*DATAARK!$B$3</f>
        <v>-15000</v>
      </c>
      <c r="K174" s="89">
        <f>J174*DATAARK!$C$3</f>
        <v>-15000</v>
      </c>
      <c r="N174" s="40">
        <f t="shared" si="5"/>
        <v>0</v>
      </c>
    </row>
    <row r="175" spans="1:14" x14ac:dyDescent="0.25">
      <c r="A175" s="37" t="s">
        <v>294</v>
      </c>
      <c r="B175" s="37" t="s">
        <v>295</v>
      </c>
      <c r="C175" s="70">
        <v>-8700</v>
      </c>
      <c r="G175" s="70">
        <v>8700</v>
      </c>
      <c r="H175" s="70">
        <v>-8700</v>
      </c>
      <c r="J175" s="89">
        <f>I175*DATAARK!$B$3</f>
        <v>0</v>
      </c>
      <c r="K175" s="89">
        <f>J175*DATAARK!$C$3</f>
        <v>0</v>
      </c>
      <c r="N175" s="40">
        <f t="shared" si="5"/>
        <v>0</v>
      </c>
    </row>
    <row r="176" spans="1:14" x14ac:dyDescent="0.25">
      <c r="A176" s="37" t="s">
        <v>296</v>
      </c>
      <c r="B176" s="37" t="s">
        <v>297</v>
      </c>
      <c r="C176" s="70">
        <v>-100</v>
      </c>
      <c r="G176" s="70">
        <v>100</v>
      </c>
      <c r="H176" s="70">
        <v>-100</v>
      </c>
      <c r="I176" s="103">
        <f>C176</f>
        <v>-100</v>
      </c>
      <c r="J176" s="89">
        <f>I176*DATAARK!$B$3</f>
        <v>-100</v>
      </c>
      <c r="K176" s="89">
        <f>J176*DATAARK!$C$3</f>
        <v>-100</v>
      </c>
      <c r="N176" s="40">
        <f t="shared" si="5"/>
        <v>0</v>
      </c>
    </row>
    <row r="177" spans="1:14" x14ac:dyDescent="0.25">
      <c r="A177" s="37" t="s">
        <v>298</v>
      </c>
      <c r="B177" s="37" t="s">
        <v>299</v>
      </c>
      <c r="C177" s="70">
        <v>-477.28</v>
      </c>
      <c r="G177" s="70">
        <v>477.28</v>
      </c>
      <c r="H177" s="70">
        <v>-477.28</v>
      </c>
      <c r="J177" s="89">
        <f>I177*DATAARK!$B$3</f>
        <v>0</v>
      </c>
      <c r="K177" s="89">
        <f>J177*DATAARK!$C$3</f>
        <v>0</v>
      </c>
      <c r="N177" s="40">
        <f t="shared" si="5"/>
        <v>0</v>
      </c>
    </row>
    <row r="178" spans="1:14" x14ac:dyDescent="0.25">
      <c r="A178" s="37" t="s">
        <v>300</v>
      </c>
      <c r="B178" s="37" t="s">
        <v>301</v>
      </c>
      <c r="C178" s="70">
        <v>-7000</v>
      </c>
      <c r="D178" s="70">
        <v>-14619</v>
      </c>
      <c r="E178" s="70">
        <v>52.12</v>
      </c>
      <c r="F178" s="70">
        <v>47.88</v>
      </c>
      <c r="G178" s="70">
        <v>-7619</v>
      </c>
      <c r="H178" s="70">
        <v>-14619</v>
      </c>
      <c r="I178" s="103">
        <v>-14619</v>
      </c>
      <c r="J178" s="89">
        <f>I178*DATAARK!$B$3</f>
        <v>-14619</v>
      </c>
      <c r="K178" s="89">
        <f>J178*DATAARK!$C$3</f>
        <v>-14619</v>
      </c>
      <c r="N178" s="40">
        <f t="shared" si="5"/>
        <v>0</v>
      </c>
    </row>
    <row r="179" spans="1:14" x14ac:dyDescent="0.25">
      <c r="A179" s="37" t="s">
        <v>302</v>
      </c>
      <c r="B179" s="37" t="s">
        <v>303</v>
      </c>
      <c r="C179" s="70">
        <v>-551</v>
      </c>
      <c r="G179" s="70">
        <v>551</v>
      </c>
      <c r="H179" s="70">
        <v>-551</v>
      </c>
      <c r="I179" s="103">
        <v>-551</v>
      </c>
      <c r="J179" s="89">
        <f>I179*DATAARK!$B$3</f>
        <v>-551</v>
      </c>
      <c r="K179" s="89">
        <f>J179*DATAARK!$C$3</f>
        <v>-551</v>
      </c>
      <c r="N179" s="40">
        <f t="shared" si="5"/>
        <v>0</v>
      </c>
    </row>
    <row r="180" spans="1:14" x14ac:dyDescent="0.25">
      <c r="A180" s="37" t="s">
        <v>304</v>
      </c>
      <c r="B180" s="37" t="s">
        <v>305</v>
      </c>
      <c r="J180" s="89">
        <f>I180*DATAARK!$B$3</f>
        <v>0</v>
      </c>
      <c r="K180" s="89">
        <f>J180*DATAARK!$C$3</f>
        <v>0</v>
      </c>
      <c r="N180" s="40">
        <f t="shared" si="5"/>
        <v>0</v>
      </c>
    </row>
    <row r="181" spans="1:14" x14ac:dyDescent="0.25">
      <c r="A181" s="37" t="s">
        <v>306</v>
      </c>
      <c r="B181" s="37" t="s">
        <v>307</v>
      </c>
      <c r="C181" s="70">
        <v>-2034</v>
      </c>
      <c r="D181" s="70">
        <v>-10000</v>
      </c>
      <c r="E181" s="70">
        <v>79.66</v>
      </c>
      <c r="F181" s="70">
        <v>20.34</v>
      </c>
      <c r="G181" s="70">
        <v>-7966</v>
      </c>
      <c r="H181" s="70">
        <v>-10000</v>
      </c>
      <c r="I181" s="103">
        <v>-10000</v>
      </c>
      <c r="J181" s="89">
        <f>I181*DATAARK!$B$3</f>
        <v>-10000</v>
      </c>
      <c r="K181" s="89">
        <f>J181*DATAARK!$C$3</f>
        <v>-10000</v>
      </c>
      <c r="N181" s="40">
        <f t="shared" si="5"/>
        <v>0</v>
      </c>
    </row>
    <row r="182" spans="1:14" x14ac:dyDescent="0.25">
      <c r="A182" s="37" t="s">
        <v>308</v>
      </c>
      <c r="B182" s="37" t="s">
        <v>309</v>
      </c>
      <c r="C182" s="70">
        <v>-6585.29</v>
      </c>
      <c r="D182" s="70">
        <v>-170000</v>
      </c>
      <c r="E182" s="70">
        <v>96.13</v>
      </c>
      <c r="F182" s="70">
        <v>3.87</v>
      </c>
      <c r="G182" s="70">
        <v>-163414.71</v>
      </c>
      <c r="H182" s="70">
        <v>-170000</v>
      </c>
      <c r="I182" s="103">
        <v>-100000</v>
      </c>
      <c r="J182" s="89">
        <f>I182*DATAARK!$B$3</f>
        <v>-100000</v>
      </c>
      <c r="K182" s="89">
        <f>J182*DATAARK!$C$3</f>
        <v>-100000</v>
      </c>
      <c r="N182" s="40">
        <f t="shared" si="5"/>
        <v>0</v>
      </c>
    </row>
    <row r="183" spans="1:14" x14ac:dyDescent="0.25">
      <c r="A183" s="37" t="s">
        <v>310</v>
      </c>
      <c r="B183" s="37" t="s">
        <v>311</v>
      </c>
      <c r="J183" s="89">
        <f>I183*DATAARK!$B$3</f>
        <v>0</v>
      </c>
      <c r="K183" s="89">
        <f>J183*DATAARK!$C$3</f>
        <v>0</v>
      </c>
      <c r="N183" s="40">
        <f t="shared" si="5"/>
        <v>0</v>
      </c>
    </row>
    <row r="184" spans="1:14" x14ac:dyDescent="0.25">
      <c r="A184" s="37" t="s">
        <v>312</v>
      </c>
      <c r="B184" s="37" t="s">
        <v>313</v>
      </c>
      <c r="J184" s="89">
        <f>I184*DATAARK!$B$3</f>
        <v>0</v>
      </c>
      <c r="K184" s="89">
        <f>J184*DATAARK!$C$3</f>
        <v>0</v>
      </c>
      <c r="N184" s="40">
        <f t="shared" si="5"/>
        <v>0</v>
      </c>
    </row>
    <row r="185" spans="1:14" x14ac:dyDescent="0.25">
      <c r="A185" s="37" t="s">
        <v>314</v>
      </c>
      <c r="B185" s="37" t="s">
        <v>315</v>
      </c>
      <c r="C185" s="70">
        <v>-7055.98</v>
      </c>
      <c r="D185" s="70">
        <v>-20000</v>
      </c>
      <c r="E185" s="70">
        <v>64.72</v>
      </c>
      <c r="F185" s="70">
        <v>35.28</v>
      </c>
      <c r="G185" s="70">
        <v>-12944.02</v>
      </c>
      <c r="H185" s="70">
        <v>-20000</v>
      </c>
      <c r="I185" s="103">
        <v>-20000</v>
      </c>
      <c r="J185" s="89">
        <f>I185*DATAARK!$B$3</f>
        <v>-20000</v>
      </c>
      <c r="K185" s="89">
        <f>J185*DATAARK!$C$3</f>
        <v>-20000</v>
      </c>
      <c r="N185" s="40">
        <f t="shared" si="5"/>
        <v>0</v>
      </c>
    </row>
    <row r="186" spans="1:14" x14ac:dyDescent="0.25">
      <c r="A186" s="37" t="s">
        <v>316</v>
      </c>
      <c r="B186" s="37" t="s">
        <v>317</v>
      </c>
      <c r="J186" s="89">
        <f>I186*DATAARK!$B$3</f>
        <v>0</v>
      </c>
      <c r="K186" s="89">
        <f>J186*DATAARK!$C$3</f>
        <v>0</v>
      </c>
      <c r="N186" s="40">
        <f t="shared" si="5"/>
        <v>0</v>
      </c>
    </row>
    <row r="187" spans="1:14" x14ac:dyDescent="0.25">
      <c r="A187" s="37" t="s">
        <v>318</v>
      </c>
      <c r="B187" s="37" t="s">
        <v>319</v>
      </c>
      <c r="C187" s="70">
        <v>-8514.9500000000007</v>
      </c>
      <c r="D187" s="70">
        <v>-10000</v>
      </c>
      <c r="E187" s="70">
        <v>14.85</v>
      </c>
      <c r="F187" s="70">
        <v>85.15</v>
      </c>
      <c r="G187" s="70">
        <v>-1485.05</v>
      </c>
      <c r="H187" s="70">
        <v>-10000</v>
      </c>
      <c r="I187" s="103">
        <v>-10000</v>
      </c>
      <c r="J187" s="89">
        <f>I187*DATAARK!$B$3</f>
        <v>-10000</v>
      </c>
      <c r="K187" s="89">
        <f>J187*DATAARK!$C$3</f>
        <v>-10000</v>
      </c>
      <c r="N187" s="40">
        <f t="shared" si="5"/>
        <v>0</v>
      </c>
    </row>
    <row r="188" spans="1:14" x14ac:dyDescent="0.25">
      <c r="A188" s="37" t="s">
        <v>320</v>
      </c>
      <c r="B188" s="37" t="s">
        <v>321</v>
      </c>
      <c r="C188" s="70">
        <v>-172</v>
      </c>
      <c r="G188" s="70">
        <v>172</v>
      </c>
      <c r="H188" s="70">
        <v>-172</v>
      </c>
      <c r="I188" s="103">
        <f>C188</f>
        <v>-172</v>
      </c>
      <c r="J188" s="89">
        <f>I188*DATAARK!$B$3</f>
        <v>-172</v>
      </c>
      <c r="K188" s="89">
        <f>J188*DATAARK!$C$3</f>
        <v>-172</v>
      </c>
      <c r="N188" s="40">
        <f t="shared" si="5"/>
        <v>0</v>
      </c>
    </row>
    <row r="189" spans="1:14" x14ac:dyDescent="0.25">
      <c r="A189" s="37" t="s">
        <v>322</v>
      </c>
      <c r="B189" s="37" t="s">
        <v>323</v>
      </c>
      <c r="C189" s="70">
        <v>-278901.64</v>
      </c>
      <c r="D189" s="70">
        <v>-1000000</v>
      </c>
      <c r="E189" s="70">
        <v>72.11</v>
      </c>
      <c r="F189" s="70">
        <v>27.89</v>
      </c>
      <c r="G189" s="70">
        <v>-721098.36</v>
      </c>
      <c r="H189" s="70">
        <v>-1000000</v>
      </c>
      <c r="I189" s="103">
        <v>-600000</v>
      </c>
      <c r="J189" s="89">
        <f>I189*DATAARK!$B$3</f>
        <v>-600000</v>
      </c>
      <c r="K189" s="89">
        <f>J189*DATAARK!$C$3</f>
        <v>-600000</v>
      </c>
      <c r="N189" s="40">
        <f t="shared" si="5"/>
        <v>0</v>
      </c>
    </row>
    <row r="190" spans="1:14" x14ac:dyDescent="0.25">
      <c r="A190" s="37" t="s">
        <v>324</v>
      </c>
      <c r="B190" s="37" t="s">
        <v>325</v>
      </c>
      <c r="J190" s="89">
        <f>I190*DATAARK!$B$3</f>
        <v>0</v>
      </c>
      <c r="K190" s="89">
        <f>J190*DATAARK!$C$3</f>
        <v>0</v>
      </c>
      <c r="N190" s="40">
        <f t="shared" si="5"/>
        <v>0</v>
      </c>
    </row>
    <row r="191" spans="1:14" x14ac:dyDescent="0.25">
      <c r="A191" s="37" t="s">
        <v>326</v>
      </c>
      <c r="B191" s="37" t="s">
        <v>327</v>
      </c>
      <c r="J191" s="89">
        <f>I191*DATAARK!$B$3</f>
        <v>0</v>
      </c>
      <c r="K191" s="89">
        <f>J191*DATAARK!$C$3</f>
        <v>0</v>
      </c>
      <c r="N191" s="40">
        <f t="shared" si="5"/>
        <v>0</v>
      </c>
    </row>
    <row r="192" spans="1:14" x14ac:dyDescent="0.25">
      <c r="A192" s="37" t="s">
        <v>328</v>
      </c>
      <c r="B192" s="37" t="s">
        <v>329</v>
      </c>
      <c r="J192" s="89">
        <f>I192*DATAARK!$B$3</f>
        <v>0</v>
      </c>
      <c r="K192" s="89">
        <f>J192*DATAARK!$C$3</f>
        <v>0</v>
      </c>
      <c r="N192" s="40">
        <f t="shared" si="5"/>
        <v>0</v>
      </c>
    </row>
    <row r="193" spans="1:14" x14ac:dyDescent="0.25">
      <c r="A193" s="37" t="s">
        <v>330</v>
      </c>
      <c r="B193" s="37" t="s">
        <v>331</v>
      </c>
      <c r="C193" s="70">
        <v>-87632.4</v>
      </c>
      <c r="D193" s="70">
        <v>-30218</v>
      </c>
      <c r="E193" s="70">
        <v>-190</v>
      </c>
      <c r="F193" s="70">
        <v>290</v>
      </c>
      <c r="G193" s="70">
        <v>57414.400000000001</v>
      </c>
      <c r="H193" s="70">
        <v>-87632.4</v>
      </c>
      <c r="I193" s="103">
        <v>-100000</v>
      </c>
      <c r="J193" s="89">
        <f>I193*DATAARK!$B$3</f>
        <v>-100000</v>
      </c>
      <c r="K193" s="89">
        <f>J193*DATAARK!$C$3</f>
        <v>-100000</v>
      </c>
      <c r="N193" s="40">
        <f t="shared" si="5"/>
        <v>0</v>
      </c>
    </row>
    <row r="194" spans="1:14" x14ac:dyDescent="0.25">
      <c r="A194" s="37" t="s">
        <v>332</v>
      </c>
      <c r="B194" s="37" t="s">
        <v>333</v>
      </c>
      <c r="J194" s="89">
        <f>I194*DATAARK!$B$3</f>
        <v>0</v>
      </c>
      <c r="K194" s="89">
        <f>J194*DATAARK!$C$3</f>
        <v>0</v>
      </c>
      <c r="N194" s="40">
        <f t="shared" si="5"/>
        <v>0</v>
      </c>
    </row>
    <row r="195" spans="1:14" x14ac:dyDescent="0.25">
      <c r="A195" s="37" t="s">
        <v>334</v>
      </c>
      <c r="B195" s="37" t="s">
        <v>335</v>
      </c>
      <c r="J195" s="89">
        <f>I195*DATAARK!$B$3</f>
        <v>0</v>
      </c>
      <c r="K195" s="89">
        <f>J195*DATAARK!$C$3</f>
        <v>0</v>
      </c>
      <c r="N195" s="40">
        <f t="shared" si="5"/>
        <v>0</v>
      </c>
    </row>
    <row r="196" spans="1:14" x14ac:dyDescent="0.25">
      <c r="A196" s="37" t="s">
        <v>336</v>
      </c>
      <c r="B196" s="37" t="s">
        <v>337</v>
      </c>
      <c r="J196" s="89">
        <f>I196*DATAARK!$B$3</f>
        <v>0</v>
      </c>
      <c r="K196" s="89">
        <f>J196*DATAARK!$C$3</f>
        <v>0</v>
      </c>
      <c r="N196" s="40">
        <f t="shared" si="5"/>
        <v>0</v>
      </c>
    </row>
    <row r="197" spans="1:14" x14ac:dyDescent="0.25">
      <c r="A197" s="37" t="s">
        <v>338</v>
      </c>
      <c r="B197" s="37" t="s">
        <v>339</v>
      </c>
      <c r="J197" s="89">
        <f>I197*DATAARK!$B$3</f>
        <v>0</v>
      </c>
      <c r="K197" s="89">
        <f>J197*DATAARK!$C$3</f>
        <v>0</v>
      </c>
      <c r="N197" s="40">
        <f t="shared" si="5"/>
        <v>0</v>
      </c>
    </row>
    <row r="198" spans="1:14" x14ac:dyDescent="0.25">
      <c r="A198" s="38" t="s">
        <v>340</v>
      </c>
      <c r="B198" s="38" t="s">
        <v>341</v>
      </c>
      <c r="C198" s="71">
        <v>-679426.49</v>
      </c>
      <c r="D198" s="71">
        <v>-2005497</v>
      </c>
      <c r="E198" s="71">
        <v>66.12</v>
      </c>
      <c r="F198" s="71">
        <v>33.880000000000003</v>
      </c>
      <c r="G198" s="71">
        <v>-1326070.51</v>
      </c>
      <c r="H198" s="71">
        <v>-1917458.9699999997</v>
      </c>
      <c r="I198" s="90">
        <f>SUM(I139:I197)</f>
        <v>-1404039.5499999998</v>
      </c>
      <c r="J198" s="127">
        <f>SUM(J139:J197)</f>
        <v>-1404039.5499999998</v>
      </c>
      <c r="K198" s="90">
        <f>SUM(K139:K197)</f>
        <v>-1404039.5499999998</v>
      </c>
      <c r="N198" s="40">
        <f t="shared" si="5"/>
        <v>0</v>
      </c>
    </row>
    <row r="199" spans="1:14" x14ac:dyDescent="0.25">
      <c r="A199" s="37" t="s">
        <v>12</v>
      </c>
      <c r="B199" s="37" t="s">
        <v>12</v>
      </c>
      <c r="N199" s="40">
        <f t="shared" si="5"/>
        <v>0</v>
      </c>
    </row>
    <row r="200" spans="1:14" x14ac:dyDescent="0.25">
      <c r="A200" s="38" t="s">
        <v>342</v>
      </c>
      <c r="B200" s="38" t="s">
        <v>343</v>
      </c>
      <c r="C200" s="71"/>
      <c r="D200" s="71"/>
      <c r="E200" s="71"/>
      <c r="F200" s="71"/>
      <c r="G200" s="71"/>
      <c r="H200" s="71"/>
      <c r="I200" s="90"/>
      <c r="J200" s="127"/>
      <c r="K200" s="90"/>
      <c r="N200" s="40">
        <f t="shared" si="5"/>
        <v>0</v>
      </c>
    </row>
    <row r="201" spans="1:14" x14ac:dyDescent="0.25">
      <c r="A201" s="37" t="s">
        <v>344</v>
      </c>
      <c r="B201" s="37" t="s">
        <v>345</v>
      </c>
      <c r="J201" s="89">
        <f>I201*DATAARK!$B$3</f>
        <v>0</v>
      </c>
      <c r="K201" s="89">
        <f>J201*DATAARK!$C$3</f>
        <v>0</v>
      </c>
      <c r="N201" s="40">
        <f t="shared" si="5"/>
        <v>0</v>
      </c>
    </row>
    <row r="202" spans="1:14" x14ac:dyDescent="0.25">
      <c r="A202" s="37" t="s">
        <v>346</v>
      </c>
      <c r="B202" s="37" t="s">
        <v>347</v>
      </c>
      <c r="J202" s="89">
        <f>I202*DATAARK!$B$3</f>
        <v>0</v>
      </c>
      <c r="K202" s="89">
        <f>J202*DATAARK!$C$3</f>
        <v>0</v>
      </c>
      <c r="N202" s="40">
        <f t="shared" si="5"/>
        <v>0</v>
      </c>
    </row>
    <row r="203" spans="1:14" x14ac:dyDescent="0.25">
      <c r="A203" s="37" t="s">
        <v>348</v>
      </c>
      <c r="B203" s="37" t="s">
        <v>349</v>
      </c>
      <c r="J203" s="89">
        <f>I203*DATAARK!$B$3</f>
        <v>0</v>
      </c>
      <c r="K203" s="89">
        <f>J203*DATAARK!$C$3</f>
        <v>0</v>
      </c>
      <c r="N203" s="40">
        <f t="shared" si="5"/>
        <v>0</v>
      </c>
    </row>
    <row r="204" spans="1:14" x14ac:dyDescent="0.25">
      <c r="A204" s="37" t="s">
        <v>350</v>
      </c>
      <c r="B204" s="37" t="s">
        <v>351</v>
      </c>
      <c r="J204" s="89">
        <f>I204*DATAARK!$B$3</f>
        <v>0</v>
      </c>
      <c r="K204" s="89">
        <f>J204*DATAARK!$C$3</f>
        <v>0</v>
      </c>
      <c r="N204" s="40">
        <f t="shared" ref="N204:N245" si="6">IF(J204&gt;0,1,0)</f>
        <v>0</v>
      </c>
    </row>
    <row r="205" spans="1:14" x14ac:dyDescent="0.25">
      <c r="A205" s="37" t="s">
        <v>352</v>
      </c>
      <c r="B205" s="37" t="s">
        <v>353</v>
      </c>
      <c r="J205" s="89">
        <f>I205*DATAARK!$B$3</f>
        <v>0</v>
      </c>
      <c r="K205" s="89">
        <f>J205*DATAARK!$C$3</f>
        <v>0</v>
      </c>
      <c r="N205" s="40">
        <f t="shared" si="6"/>
        <v>0</v>
      </c>
    </row>
    <row r="206" spans="1:14" x14ac:dyDescent="0.25">
      <c r="A206" s="37" t="s">
        <v>354</v>
      </c>
      <c r="B206" s="37" t="s">
        <v>355</v>
      </c>
      <c r="J206" s="89">
        <f>I206*DATAARK!$B$3</f>
        <v>0</v>
      </c>
      <c r="K206" s="89">
        <f>J206*DATAARK!$C$3</f>
        <v>0</v>
      </c>
      <c r="N206" s="40">
        <f t="shared" si="6"/>
        <v>0</v>
      </c>
    </row>
    <row r="207" spans="1:14" x14ac:dyDescent="0.25">
      <c r="A207" s="37" t="s">
        <v>356</v>
      </c>
      <c r="B207" s="37" t="s">
        <v>357</v>
      </c>
      <c r="J207" s="89">
        <f>I207*DATAARK!$B$3</f>
        <v>0</v>
      </c>
      <c r="K207" s="89">
        <f>J207*DATAARK!$C$3</f>
        <v>0</v>
      </c>
      <c r="N207" s="40">
        <f t="shared" si="6"/>
        <v>0</v>
      </c>
    </row>
    <row r="208" spans="1:14" x14ac:dyDescent="0.25">
      <c r="A208" s="37" t="s">
        <v>358</v>
      </c>
      <c r="B208" s="37" t="s">
        <v>359</v>
      </c>
      <c r="J208" s="89">
        <f>I208*DATAARK!$B$3</f>
        <v>0</v>
      </c>
      <c r="K208" s="89">
        <f>J208*DATAARK!$C$3</f>
        <v>0</v>
      </c>
      <c r="N208" s="40">
        <f t="shared" si="6"/>
        <v>0</v>
      </c>
    </row>
    <row r="209" spans="1:14" x14ac:dyDescent="0.25">
      <c r="A209" s="38" t="s">
        <v>360</v>
      </c>
      <c r="B209" s="38" t="s">
        <v>361</v>
      </c>
      <c r="C209" s="71"/>
      <c r="D209" s="71"/>
      <c r="E209" s="71"/>
      <c r="F209" s="71"/>
      <c r="G209" s="71"/>
      <c r="H209" s="71">
        <v>0</v>
      </c>
      <c r="I209" s="90">
        <f>SUM(I201:I208)</f>
        <v>0</v>
      </c>
      <c r="J209" s="127">
        <f>SUM(J201:J208)</f>
        <v>0</v>
      </c>
      <c r="K209" s="90">
        <f>SUM(K201:K208)</f>
        <v>0</v>
      </c>
      <c r="N209" s="40">
        <f t="shared" si="6"/>
        <v>0</v>
      </c>
    </row>
    <row r="210" spans="1:14" x14ac:dyDescent="0.25">
      <c r="A210" s="37" t="s">
        <v>12</v>
      </c>
      <c r="B210" s="37" t="s">
        <v>12</v>
      </c>
      <c r="N210" s="40">
        <f t="shared" si="6"/>
        <v>0</v>
      </c>
    </row>
    <row r="211" spans="1:14" x14ac:dyDescent="0.25">
      <c r="A211" s="38" t="s">
        <v>362</v>
      </c>
      <c r="B211" s="38" t="s">
        <v>40</v>
      </c>
      <c r="C211" s="71"/>
      <c r="D211" s="71"/>
      <c r="E211" s="71"/>
      <c r="F211" s="71"/>
      <c r="G211" s="71"/>
      <c r="H211" s="71"/>
      <c r="I211" s="90"/>
      <c r="J211" s="127"/>
      <c r="K211" s="90"/>
      <c r="N211" s="40">
        <f t="shared" si="6"/>
        <v>0</v>
      </c>
    </row>
    <row r="212" spans="1:14" x14ac:dyDescent="0.25">
      <c r="A212" s="37" t="s">
        <v>363</v>
      </c>
      <c r="B212" s="37" t="s">
        <v>364</v>
      </c>
      <c r="J212" s="89">
        <f>I212*DATAARK!$B$3</f>
        <v>0</v>
      </c>
      <c r="K212" s="89">
        <f>J212*DATAARK!$C$3</f>
        <v>0</v>
      </c>
      <c r="N212" s="40">
        <f t="shared" si="6"/>
        <v>0</v>
      </c>
    </row>
    <row r="213" spans="1:14" x14ac:dyDescent="0.25">
      <c r="A213" s="37" t="s">
        <v>365</v>
      </c>
      <c r="B213" s="37" t="s">
        <v>366</v>
      </c>
      <c r="J213" s="89">
        <f>I213*DATAARK!$B$3</f>
        <v>0</v>
      </c>
      <c r="K213" s="89">
        <f>J213*DATAARK!$C$3</f>
        <v>0</v>
      </c>
      <c r="N213" s="40">
        <f t="shared" si="6"/>
        <v>0</v>
      </c>
    </row>
    <row r="214" spans="1:14" x14ac:dyDescent="0.25">
      <c r="A214" s="37" t="s">
        <v>367</v>
      </c>
      <c r="B214" s="37" t="s">
        <v>368</v>
      </c>
      <c r="J214" s="89">
        <f>I214*DATAARK!$B$3</f>
        <v>0</v>
      </c>
      <c r="K214" s="89">
        <f>J214*DATAARK!$C$3</f>
        <v>0</v>
      </c>
      <c r="N214" s="40">
        <f t="shared" si="6"/>
        <v>0</v>
      </c>
    </row>
    <row r="215" spans="1:14" x14ac:dyDescent="0.25">
      <c r="A215" s="37" t="s">
        <v>369</v>
      </c>
      <c r="B215" s="37" t="s">
        <v>370</v>
      </c>
      <c r="C215" s="70">
        <v>-973.49</v>
      </c>
      <c r="G215" s="70">
        <v>973.49</v>
      </c>
      <c r="J215" s="89">
        <f>I215*DATAARK!$B$3</f>
        <v>0</v>
      </c>
      <c r="K215" s="89">
        <f>J215*DATAARK!$C$3</f>
        <v>0</v>
      </c>
      <c r="N215" s="40">
        <f t="shared" si="6"/>
        <v>0</v>
      </c>
    </row>
    <row r="216" spans="1:14" x14ac:dyDescent="0.25">
      <c r="A216" s="37" t="s">
        <v>371</v>
      </c>
      <c r="B216" s="37" t="s">
        <v>372</v>
      </c>
      <c r="J216" s="89">
        <f>I216*DATAARK!$B$3</f>
        <v>0</v>
      </c>
      <c r="K216" s="89">
        <f>J216*DATAARK!$C$3</f>
        <v>0</v>
      </c>
      <c r="N216" s="40">
        <f t="shared" si="6"/>
        <v>0</v>
      </c>
    </row>
    <row r="217" spans="1:14" x14ac:dyDescent="0.25">
      <c r="A217" s="37" t="s">
        <v>373</v>
      </c>
      <c r="B217" s="37" t="s">
        <v>374</v>
      </c>
      <c r="J217" s="89">
        <f>I217*DATAARK!$B$3</f>
        <v>0</v>
      </c>
      <c r="K217" s="89">
        <f>J217*DATAARK!$C$3</f>
        <v>0</v>
      </c>
      <c r="N217" s="40">
        <f t="shared" si="6"/>
        <v>0</v>
      </c>
    </row>
    <row r="218" spans="1:14" x14ac:dyDescent="0.25">
      <c r="A218" s="37" t="s">
        <v>375</v>
      </c>
      <c r="B218" s="37" t="s">
        <v>376</v>
      </c>
      <c r="J218" s="89">
        <f>I218*DATAARK!$B$3</f>
        <v>0</v>
      </c>
      <c r="K218" s="89">
        <f>J218*DATAARK!$C$3</f>
        <v>0</v>
      </c>
      <c r="N218" s="40">
        <f t="shared" si="6"/>
        <v>0</v>
      </c>
    </row>
    <row r="219" spans="1:14" x14ac:dyDescent="0.25">
      <c r="A219" s="38" t="s">
        <v>377</v>
      </c>
      <c r="B219" s="38" t="s">
        <v>378</v>
      </c>
      <c r="C219" s="71">
        <v>-973.49</v>
      </c>
      <c r="D219" s="71"/>
      <c r="E219" s="71"/>
      <c r="F219" s="71"/>
      <c r="G219" s="71">
        <v>973.49</v>
      </c>
      <c r="H219" s="71">
        <v>0</v>
      </c>
      <c r="I219" s="90">
        <f>SUM(I212:I218)</f>
        <v>0</v>
      </c>
      <c r="J219" s="127">
        <f>SUM(J212:J218)</f>
        <v>0</v>
      </c>
      <c r="K219" s="90">
        <f>SUM(K212:K218)</f>
        <v>0</v>
      </c>
      <c r="N219" s="40">
        <f t="shared" si="6"/>
        <v>0</v>
      </c>
    </row>
    <row r="220" spans="1:14" x14ac:dyDescent="0.25">
      <c r="A220" s="37" t="s">
        <v>12</v>
      </c>
      <c r="B220" s="37" t="s">
        <v>12</v>
      </c>
      <c r="N220" s="40">
        <f t="shared" si="6"/>
        <v>0</v>
      </c>
    </row>
    <row r="221" spans="1:14" x14ac:dyDescent="0.25">
      <c r="A221" s="38" t="s">
        <v>379</v>
      </c>
      <c r="B221" s="38" t="s">
        <v>380</v>
      </c>
      <c r="C221" s="71"/>
      <c r="D221" s="71"/>
      <c r="E221" s="71"/>
      <c r="F221" s="71"/>
      <c r="G221" s="71"/>
      <c r="H221" s="71"/>
      <c r="I221" s="90"/>
      <c r="J221" s="127"/>
      <c r="K221" s="90"/>
      <c r="N221" s="40">
        <f t="shared" si="6"/>
        <v>0</v>
      </c>
    </row>
    <row r="222" spans="1:14" x14ac:dyDescent="0.25">
      <c r="A222" s="37" t="s">
        <v>381</v>
      </c>
      <c r="B222" s="37" t="s">
        <v>380</v>
      </c>
      <c r="J222" s="89">
        <f>I222*DATAARK!$B$3</f>
        <v>0</v>
      </c>
      <c r="K222" s="89">
        <f>J222*DATAARK!$C$3</f>
        <v>0</v>
      </c>
      <c r="N222" s="40">
        <f t="shared" si="6"/>
        <v>0</v>
      </c>
    </row>
    <row r="223" spans="1:14" x14ac:dyDescent="0.25">
      <c r="A223" s="38" t="s">
        <v>382</v>
      </c>
      <c r="B223" s="38" t="s">
        <v>383</v>
      </c>
      <c r="C223" s="71"/>
      <c r="D223" s="71"/>
      <c r="E223" s="71"/>
      <c r="F223" s="71"/>
      <c r="G223" s="71"/>
      <c r="H223" s="71">
        <v>0</v>
      </c>
      <c r="I223" s="90">
        <f>I222</f>
        <v>0</v>
      </c>
      <c r="J223" s="127">
        <f>SUM(J222)</f>
        <v>0</v>
      </c>
      <c r="K223" s="90">
        <f>SUM(K222)</f>
        <v>0</v>
      </c>
      <c r="N223" s="40">
        <f t="shared" si="6"/>
        <v>0</v>
      </c>
    </row>
    <row r="224" spans="1:14" x14ac:dyDescent="0.25">
      <c r="A224" s="37" t="s">
        <v>12</v>
      </c>
      <c r="B224" s="37" t="s">
        <v>12</v>
      </c>
      <c r="N224" s="40">
        <f t="shared" si="6"/>
        <v>0</v>
      </c>
    </row>
    <row r="225" spans="1:14" x14ac:dyDescent="0.25">
      <c r="A225" s="38" t="s">
        <v>384</v>
      </c>
      <c r="B225" s="38" t="s">
        <v>385</v>
      </c>
      <c r="C225" s="71"/>
      <c r="D225" s="71"/>
      <c r="E225" s="71"/>
      <c r="F225" s="71"/>
      <c r="G225" s="71"/>
      <c r="H225" s="71"/>
      <c r="I225" s="90"/>
      <c r="J225" s="127"/>
      <c r="K225" s="90"/>
      <c r="N225" s="40">
        <f t="shared" si="6"/>
        <v>0</v>
      </c>
    </row>
    <row r="226" spans="1:14" x14ac:dyDescent="0.25">
      <c r="A226" s="37" t="s">
        <v>386</v>
      </c>
      <c r="B226" s="37" t="s">
        <v>385</v>
      </c>
      <c r="J226" s="89">
        <f>I226*DATAARK!$B$3</f>
        <v>0</v>
      </c>
      <c r="K226" s="89">
        <f>J226*DATAARK!$C$3</f>
        <v>0</v>
      </c>
      <c r="N226" s="40">
        <f t="shared" si="6"/>
        <v>0</v>
      </c>
    </row>
    <row r="227" spans="1:14" x14ac:dyDescent="0.25">
      <c r="A227" s="38" t="s">
        <v>387</v>
      </c>
      <c r="B227" s="38" t="s">
        <v>388</v>
      </c>
      <c r="C227" s="71"/>
      <c r="D227" s="71"/>
      <c r="E227" s="71"/>
      <c r="F227" s="71"/>
      <c r="G227" s="71"/>
      <c r="H227" s="71">
        <v>0</v>
      </c>
      <c r="I227" s="90">
        <f>I226</f>
        <v>0</v>
      </c>
      <c r="J227" s="127">
        <f>J226</f>
        <v>0</v>
      </c>
      <c r="K227" s="90">
        <f>K226</f>
        <v>0</v>
      </c>
      <c r="N227" s="40">
        <f t="shared" si="6"/>
        <v>0</v>
      </c>
    </row>
    <row r="228" spans="1:14" x14ac:dyDescent="0.25">
      <c r="A228" s="37" t="s">
        <v>12</v>
      </c>
      <c r="B228" s="37" t="s">
        <v>12</v>
      </c>
      <c r="N228" s="40">
        <f t="shared" si="6"/>
        <v>0</v>
      </c>
    </row>
    <row r="229" spans="1:14" ht="15.75" thickBot="1" x14ac:dyDescent="0.3">
      <c r="A229" s="39" t="s">
        <v>389</v>
      </c>
      <c r="B229" s="39" t="s">
        <v>390</v>
      </c>
      <c r="C229" s="72">
        <v>1171714.77</v>
      </c>
      <c r="D229" s="72">
        <v>-45646.400000000001</v>
      </c>
      <c r="E229" s="72">
        <v>2666.94</v>
      </c>
      <c r="F229" s="72">
        <v>-2566.94</v>
      </c>
      <c r="G229" s="72">
        <v>-1217361.17</v>
      </c>
      <c r="H229" s="72">
        <v>-279621.75999999978</v>
      </c>
      <c r="I229" s="106">
        <f>I219+I209+I223+I227+I198+I136+I127</f>
        <v>27464.660000000149</v>
      </c>
      <c r="J229" s="130">
        <f>J227+J223+J219+J209+J198+J136+J127</f>
        <v>27464.660000000149</v>
      </c>
      <c r="K229" s="106">
        <f>K227+K223+K219+K209+K198+K136+K127</f>
        <v>27464.660000000149</v>
      </c>
      <c r="N229" s="40">
        <f t="shared" si="6"/>
        <v>1</v>
      </c>
    </row>
    <row r="230" spans="1:14" ht="15.75" thickTop="1" x14ac:dyDescent="0.25">
      <c r="A230" s="37" t="s">
        <v>12</v>
      </c>
      <c r="B230" s="37" t="s">
        <v>12</v>
      </c>
      <c r="N230" s="40">
        <f t="shared" si="6"/>
        <v>0</v>
      </c>
    </row>
    <row r="231" spans="1:14" x14ac:dyDescent="0.25">
      <c r="A231" s="38" t="s">
        <v>391</v>
      </c>
      <c r="B231" s="38" t="s">
        <v>392</v>
      </c>
      <c r="C231" s="71"/>
      <c r="D231" s="71"/>
      <c r="E231" s="71"/>
      <c r="F231" s="71"/>
      <c r="G231" s="71"/>
      <c r="H231" s="71"/>
      <c r="I231" s="90"/>
      <c r="J231" s="127"/>
      <c r="K231" s="90"/>
      <c r="N231" s="40">
        <f t="shared" si="6"/>
        <v>0</v>
      </c>
    </row>
    <row r="232" spans="1:14" x14ac:dyDescent="0.25">
      <c r="A232" s="37" t="s">
        <v>393</v>
      </c>
      <c r="B232" s="37" t="s">
        <v>394</v>
      </c>
      <c r="J232" s="89">
        <f>I232*DATAARK!$B$3</f>
        <v>0</v>
      </c>
      <c r="K232" s="89">
        <f>J232*DATAARK!$C$3</f>
        <v>0</v>
      </c>
      <c r="N232" s="40">
        <f t="shared" si="6"/>
        <v>0</v>
      </c>
    </row>
    <row r="233" spans="1:14" x14ac:dyDescent="0.25">
      <c r="A233" s="37" t="s">
        <v>395</v>
      </c>
      <c r="B233" s="37" t="s">
        <v>396</v>
      </c>
      <c r="J233" s="89">
        <f>I233*DATAARK!$B$3</f>
        <v>0</v>
      </c>
      <c r="K233" s="89">
        <f>J233*DATAARK!$C$3</f>
        <v>0</v>
      </c>
      <c r="N233" s="40">
        <f t="shared" si="6"/>
        <v>0</v>
      </c>
    </row>
    <row r="234" spans="1:14" x14ac:dyDescent="0.25">
      <c r="A234" s="37" t="s">
        <v>397</v>
      </c>
      <c r="B234" s="37" t="s">
        <v>398</v>
      </c>
      <c r="J234" s="89">
        <f>I234*DATAARK!$B$3</f>
        <v>0</v>
      </c>
      <c r="K234" s="89">
        <f>J234*DATAARK!$C$3</f>
        <v>0</v>
      </c>
      <c r="N234" s="40">
        <f t="shared" si="6"/>
        <v>0</v>
      </c>
    </row>
    <row r="235" spans="1:14" x14ac:dyDescent="0.25">
      <c r="A235" s="38" t="s">
        <v>399</v>
      </c>
      <c r="B235" s="38" t="s">
        <v>400</v>
      </c>
      <c r="C235" s="71"/>
      <c r="D235" s="71"/>
      <c r="E235" s="71"/>
      <c r="F235" s="71"/>
      <c r="G235" s="71"/>
      <c r="H235" s="71">
        <v>0</v>
      </c>
      <c r="I235" s="90">
        <f>SUM(I232:I234)</f>
        <v>0</v>
      </c>
      <c r="J235" s="127">
        <f>SUM(J232:J234)</f>
        <v>0</v>
      </c>
      <c r="K235" s="90">
        <f>SUM(K232:K234)</f>
        <v>0</v>
      </c>
      <c r="N235" s="40">
        <f t="shared" si="6"/>
        <v>0</v>
      </c>
    </row>
    <row r="236" spans="1:14" x14ac:dyDescent="0.25">
      <c r="A236" s="37" t="s">
        <v>12</v>
      </c>
      <c r="B236" s="37" t="s">
        <v>12</v>
      </c>
      <c r="N236" s="40">
        <f t="shared" si="6"/>
        <v>0</v>
      </c>
    </row>
    <row r="237" spans="1:14" ht="15.75" thickBot="1" x14ac:dyDescent="0.3">
      <c r="A237" s="39" t="s">
        <v>12</v>
      </c>
      <c r="B237" s="39" t="s">
        <v>46</v>
      </c>
      <c r="C237" s="72">
        <v>1171714.77</v>
      </c>
      <c r="D237" s="72">
        <v>-45646.400000000001</v>
      </c>
      <c r="E237" s="72">
        <v>2666.94</v>
      </c>
      <c r="F237" s="72">
        <v>-2566.94</v>
      </c>
      <c r="G237" s="72">
        <v>-1217361.17</v>
      </c>
      <c r="H237" s="72">
        <v>-279621.75999999978</v>
      </c>
      <c r="I237" s="106">
        <f>I229+I235</f>
        <v>27464.660000000149</v>
      </c>
      <c r="J237" s="130"/>
      <c r="K237" s="106"/>
      <c r="N237" s="40">
        <f t="shared" si="6"/>
        <v>0</v>
      </c>
    </row>
    <row r="238" spans="1:14" ht="15.75" thickTop="1" x14ac:dyDescent="0.25">
      <c r="A238" s="37" t="s">
        <v>12</v>
      </c>
      <c r="B238" s="37" t="s">
        <v>12</v>
      </c>
      <c r="N238" s="40">
        <f t="shared" si="6"/>
        <v>0</v>
      </c>
    </row>
    <row r="239" spans="1:14" x14ac:dyDescent="0.25">
      <c r="A239" s="37" t="s">
        <v>401</v>
      </c>
      <c r="B239" s="37" t="s">
        <v>402</v>
      </c>
      <c r="J239" s="89">
        <f>I239*DATAARK!$B$3</f>
        <v>0</v>
      </c>
      <c r="K239" s="89">
        <f>J239*DATAARK!$C$3</f>
        <v>0</v>
      </c>
      <c r="N239" s="40">
        <f t="shared" si="6"/>
        <v>0</v>
      </c>
    </row>
    <row r="240" spans="1:14" x14ac:dyDescent="0.25">
      <c r="A240" s="37" t="s">
        <v>403</v>
      </c>
      <c r="B240" s="37" t="s">
        <v>404</v>
      </c>
      <c r="J240" s="89">
        <f>I240*DATAARK!$B$3</f>
        <v>0</v>
      </c>
      <c r="K240" s="89">
        <f>J240*DATAARK!$C$3</f>
        <v>0</v>
      </c>
      <c r="N240" s="40">
        <f t="shared" si="6"/>
        <v>0</v>
      </c>
    </row>
    <row r="241" spans="1:14" x14ac:dyDescent="0.25">
      <c r="A241" s="37" t="s">
        <v>405</v>
      </c>
      <c r="B241" s="37" t="s">
        <v>406</v>
      </c>
      <c r="C241" s="70">
        <v>-10768.2</v>
      </c>
      <c r="D241" s="70">
        <v>-21536.44</v>
      </c>
      <c r="E241" s="70">
        <v>50</v>
      </c>
      <c r="F241" s="70">
        <v>50</v>
      </c>
      <c r="G241" s="70">
        <v>-10768.24</v>
      </c>
      <c r="H241" s="70">
        <v>-19547.330000000002</v>
      </c>
      <c r="I241" s="103">
        <v>-19547.330000000002</v>
      </c>
      <c r="J241" s="89">
        <f>I241*DATAARK!$B$3-20000</f>
        <v>-39547.33</v>
      </c>
      <c r="K241" s="89">
        <f>J241*DATAARK!$C$3</f>
        <v>-39547.33</v>
      </c>
      <c r="N241" s="40">
        <f t="shared" si="6"/>
        <v>0</v>
      </c>
    </row>
    <row r="242" spans="1:14" x14ac:dyDescent="0.25">
      <c r="A242" s="37" t="s">
        <v>407</v>
      </c>
      <c r="B242" s="37" t="s">
        <v>408</v>
      </c>
      <c r="J242" s="89">
        <f>I242*DATAARK!$B$3</f>
        <v>0</v>
      </c>
      <c r="K242" s="89">
        <f>J242*DATAARK!$C$3</f>
        <v>0</v>
      </c>
      <c r="N242" s="40">
        <f t="shared" si="6"/>
        <v>0</v>
      </c>
    </row>
    <row r="243" spans="1:14" x14ac:dyDescent="0.25">
      <c r="A243" s="38" t="s">
        <v>409</v>
      </c>
      <c r="B243" s="38" t="s">
        <v>410</v>
      </c>
      <c r="C243" s="71">
        <v>-10768.2</v>
      </c>
      <c r="D243" s="71">
        <v>-21536.44</v>
      </c>
      <c r="E243" s="71">
        <v>50</v>
      </c>
      <c r="F243" s="71">
        <v>50</v>
      </c>
      <c r="G243" s="71">
        <v>-10768.24</v>
      </c>
      <c r="H243" s="71">
        <v>-19547.330000000002</v>
      </c>
      <c r="I243" s="90">
        <f>SUM(I239:I242)</f>
        <v>-19547.330000000002</v>
      </c>
      <c r="J243" s="90">
        <f>SUM(J239:J242)</f>
        <v>-39547.33</v>
      </c>
      <c r="K243" s="90">
        <f>SUM(K239:K242)</f>
        <v>-39547.33</v>
      </c>
      <c r="N243" s="40">
        <f t="shared" si="6"/>
        <v>0</v>
      </c>
    </row>
    <row r="244" spans="1:14" x14ac:dyDescent="0.25">
      <c r="A244" s="37" t="s">
        <v>12</v>
      </c>
      <c r="B244" s="37" t="s">
        <v>12</v>
      </c>
      <c r="N244" s="40">
        <f t="shared" si="6"/>
        <v>0</v>
      </c>
    </row>
    <row r="245" spans="1:14" ht="15.75" thickBot="1" x14ac:dyDescent="0.3">
      <c r="A245" s="39" t="s">
        <v>411</v>
      </c>
      <c r="B245" s="39" t="s">
        <v>49</v>
      </c>
      <c r="C245" s="72">
        <v>1160946.57</v>
      </c>
      <c r="D245" s="72">
        <v>-67182.84</v>
      </c>
      <c r="E245" s="72">
        <v>1828.04</v>
      </c>
      <c r="F245" s="72">
        <v>-1728.04</v>
      </c>
      <c r="G245" s="72">
        <v>-1228129.4099999999</v>
      </c>
      <c r="H245" s="72">
        <v>-299169.08999999979</v>
      </c>
      <c r="I245" s="106">
        <f>+I237+I243</f>
        <v>7917.3300000001473</v>
      </c>
      <c r="J245" s="130">
        <f>J229+J235+J243</f>
        <v>-12082.669999999853</v>
      </c>
      <c r="K245" s="106">
        <f>K229+K235+K243</f>
        <v>-12082.669999999853</v>
      </c>
      <c r="N245" s="40">
        <f t="shared" si="6"/>
        <v>0</v>
      </c>
    </row>
    <row r="246" spans="1:14" ht="15.75" thickTop="1" x14ac:dyDescent="0.25"/>
    <row r="248" spans="1:14" x14ac:dyDescent="0.25">
      <c r="I248" s="103" t="s">
        <v>499</v>
      </c>
      <c r="J248" s="89">
        <f>(100000)/5</f>
        <v>20000</v>
      </c>
      <c r="K248" s="89">
        <f>(100000)/5</f>
        <v>20000</v>
      </c>
    </row>
  </sheetData>
  <conditionalFormatting sqref="N1:N1048576">
    <cfRule type="cellIs" dxfId="239" priority="48" operator="equal">
      <formula>1</formula>
    </cfRule>
  </conditionalFormatting>
  <conditionalFormatting sqref="N130:N136">
    <cfRule type="cellIs" dxfId="238" priority="47" operator="equal">
      <formula>2</formula>
    </cfRule>
  </conditionalFormatting>
  <conditionalFormatting sqref="N121">
    <cfRule type="cellIs" dxfId="237" priority="46" operator="equal">
      <formula>2</formula>
    </cfRule>
  </conditionalFormatting>
  <conditionalFormatting sqref="N120">
    <cfRule type="cellIs" dxfId="236" priority="45" operator="equal">
      <formula>2</formula>
    </cfRule>
  </conditionalFormatting>
  <conditionalFormatting sqref="N119">
    <cfRule type="cellIs" dxfId="235" priority="44" operator="equal">
      <formula>2</formula>
    </cfRule>
  </conditionalFormatting>
  <conditionalFormatting sqref="N118">
    <cfRule type="cellIs" dxfId="234" priority="43" operator="equal">
      <formula>2</formula>
    </cfRule>
  </conditionalFormatting>
  <conditionalFormatting sqref="N117">
    <cfRule type="cellIs" dxfId="233" priority="42" operator="equal">
      <formula>2</formula>
    </cfRule>
  </conditionalFormatting>
  <conditionalFormatting sqref="N116">
    <cfRule type="cellIs" dxfId="232" priority="41" operator="equal">
      <formula>2</formula>
    </cfRule>
  </conditionalFormatting>
  <conditionalFormatting sqref="N115">
    <cfRule type="cellIs" dxfId="231" priority="40" operator="equal">
      <formula>2</formula>
    </cfRule>
  </conditionalFormatting>
  <conditionalFormatting sqref="N116">
    <cfRule type="cellIs" dxfId="230" priority="39" operator="equal">
      <formula>2</formula>
    </cfRule>
  </conditionalFormatting>
  <conditionalFormatting sqref="N117">
    <cfRule type="cellIs" dxfId="229" priority="38" operator="equal">
      <formula>2</formula>
    </cfRule>
  </conditionalFormatting>
  <conditionalFormatting sqref="N118">
    <cfRule type="cellIs" dxfId="228" priority="37" operator="equal">
      <formula>2</formula>
    </cfRule>
  </conditionalFormatting>
  <conditionalFormatting sqref="N119">
    <cfRule type="cellIs" dxfId="227" priority="36" operator="equal">
      <formula>2</formula>
    </cfRule>
  </conditionalFormatting>
  <conditionalFormatting sqref="N120">
    <cfRule type="cellIs" dxfId="226" priority="35" operator="equal">
      <formula>2</formula>
    </cfRule>
  </conditionalFormatting>
  <conditionalFormatting sqref="N121">
    <cfRule type="cellIs" dxfId="225" priority="34" operator="equal">
      <formula>2</formula>
    </cfRule>
  </conditionalFormatting>
  <conditionalFormatting sqref="N116">
    <cfRule type="cellIs" dxfId="224" priority="33" operator="equal">
      <formula>2</formula>
    </cfRule>
  </conditionalFormatting>
  <conditionalFormatting sqref="N117">
    <cfRule type="cellIs" dxfId="223" priority="32" operator="equal">
      <formula>2</formula>
    </cfRule>
  </conditionalFormatting>
  <conditionalFormatting sqref="N118">
    <cfRule type="cellIs" dxfId="222" priority="31" operator="equal">
      <formula>2</formula>
    </cfRule>
  </conditionalFormatting>
  <conditionalFormatting sqref="N119">
    <cfRule type="cellIs" dxfId="221" priority="30" operator="equal">
      <formula>2</formula>
    </cfRule>
  </conditionalFormatting>
  <conditionalFormatting sqref="N120">
    <cfRule type="cellIs" dxfId="220" priority="29" operator="equal">
      <formula>2</formula>
    </cfRule>
  </conditionalFormatting>
  <conditionalFormatting sqref="N121">
    <cfRule type="cellIs" dxfId="219" priority="28" operator="equal">
      <formula>2</formula>
    </cfRule>
  </conditionalFormatting>
  <conditionalFormatting sqref="N130">
    <cfRule type="cellIs" dxfId="218" priority="27" operator="equal">
      <formula>2</formula>
    </cfRule>
  </conditionalFormatting>
  <conditionalFormatting sqref="N131">
    <cfRule type="cellIs" dxfId="217" priority="26" operator="equal">
      <formula>2</formula>
    </cfRule>
  </conditionalFormatting>
  <conditionalFormatting sqref="N132">
    <cfRule type="cellIs" dxfId="216" priority="25" operator="equal">
      <formula>2</formula>
    </cfRule>
  </conditionalFormatting>
  <conditionalFormatting sqref="N133">
    <cfRule type="cellIs" dxfId="215" priority="24" operator="equal">
      <formula>2</formula>
    </cfRule>
  </conditionalFormatting>
  <conditionalFormatting sqref="N134">
    <cfRule type="cellIs" dxfId="214" priority="23" operator="equal">
      <formula>2</formula>
    </cfRule>
  </conditionalFormatting>
  <conditionalFormatting sqref="N135">
    <cfRule type="cellIs" dxfId="213" priority="22" operator="equal">
      <formula>2</formula>
    </cfRule>
  </conditionalFormatting>
  <conditionalFormatting sqref="N136">
    <cfRule type="cellIs" dxfId="212" priority="21" operator="equal">
      <formula>2</formula>
    </cfRule>
  </conditionalFormatting>
  <conditionalFormatting sqref="N59">
    <cfRule type="cellIs" dxfId="211" priority="20" operator="equal">
      <formula>2</formula>
    </cfRule>
  </conditionalFormatting>
  <conditionalFormatting sqref="N58">
    <cfRule type="cellIs" dxfId="210" priority="19" operator="equal">
      <formula>2</formula>
    </cfRule>
  </conditionalFormatting>
  <conditionalFormatting sqref="N57">
    <cfRule type="cellIs" dxfId="209" priority="18" operator="equal">
      <formula>2</formula>
    </cfRule>
  </conditionalFormatting>
  <conditionalFormatting sqref="N56">
    <cfRule type="cellIs" dxfId="208" priority="17" operator="equal">
      <formula>2</formula>
    </cfRule>
  </conditionalFormatting>
  <conditionalFormatting sqref="N55">
    <cfRule type="cellIs" dxfId="207" priority="16" operator="equal">
      <formula>2</formula>
    </cfRule>
  </conditionalFormatting>
  <conditionalFormatting sqref="N54">
    <cfRule type="cellIs" dxfId="206" priority="15" operator="equal">
      <formula>2</formula>
    </cfRule>
  </conditionalFormatting>
  <conditionalFormatting sqref="N53">
    <cfRule type="cellIs" dxfId="205" priority="14" operator="equal">
      <formula>2</formula>
    </cfRule>
  </conditionalFormatting>
  <conditionalFormatting sqref="N52">
    <cfRule type="cellIs" dxfId="204" priority="13" operator="equal">
      <formula>2</formula>
    </cfRule>
  </conditionalFormatting>
  <conditionalFormatting sqref="N51">
    <cfRule type="cellIs" dxfId="203" priority="12" operator="equal">
      <formula>2</formula>
    </cfRule>
  </conditionalFormatting>
  <conditionalFormatting sqref="N50">
    <cfRule type="cellIs" dxfId="202" priority="11" operator="equal">
      <formula>2</formula>
    </cfRule>
  </conditionalFormatting>
  <conditionalFormatting sqref="N49">
    <cfRule type="cellIs" dxfId="201" priority="10" operator="equal">
      <formula>2</formula>
    </cfRule>
  </conditionalFormatting>
  <conditionalFormatting sqref="N48">
    <cfRule type="cellIs" dxfId="200" priority="9" operator="equal">
      <formula>2</formula>
    </cfRule>
  </conditionalFormatting>
  <conditionalFormatting sqref="N44">
    <cfRule type="cellIs" dxfId="199" priority="8" operator="equal">
      <formula>2</formula>
    </cfRule>
  </conditionalFormatting>
  <conditionalFormatting sqref="N45">
    <cfRule type="cellIs" dxfId="198" priority="7" operator="equal">
      <formula>2</formula>
    </cfRule>
  </conditionalFormatting>
  <conditionalFormatting sqref="N40">
    <cfRule type="cellIs" dxfId="197" priority="6" operator="equal">
      <formula>2</formula>
    </cfRule>
  </conditionalFormatting>
  <conditionalFormatting sqref="N41">
    <cfRule type="cellIs" dxfId="196" priority="5" operator="equal">
      <formula>2</formula>
    </cfRule>
  </conditionalFormatting>
  <conditionalFormatting sqref="N42">
    <cfRule type="cellIs" dxfId="195" priority="4" operator="equal">
      <formula>2</formula>
    </cfRule>
  </conditionalFormatting>
  <conditionalFormatting sqref="N43">
    <cfRule type="cellIs" dxfId="194" priority="3" operator="equal">
      <formula>2</formula>
    </cfRule>
  </conditionalFormatting>
  <conditionalFormatting sqref="N44">
    <cfRule type="cellIs" dxfId="193" priority="2" operator="equal">
      <formula>2</formula>
    </cfRule>
  </conditionalFormatting>
  <conditionalFormatting sqref="N62">
    <cfRule type="cellIs" dxfId="192" priority="1" operator="equal">
      <formula>2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17</vt:i4>
      </vt:variant>
    </vt:vector>
  </HeadingPairs>
  <TitlesOfParts>
    <vt:vector size="17" baseType="lpstr">
      <vt:lpstr>Likviditetsoversigt</vt:lpstr>
      <vt:lpstr>Halvårsregnskab</vt:lpstr>
      <vt:lpstr>ESTIMAT</vt:lpstr>
      <vt:lpstr>Budget 2022</vt:lpstr>
      <vt:lpstr>Budget 2023</vt:lpstr>
      <vt:lpstr>DATAARK</vt:lpstr>
      <vt:lpstr>Fælles adm.</vt:lpstr>
      <vt:lpstr>Odense</vt:lpstr>
      <vt:lpstr>Laks</vt:lpstr>
      <vt:lpstr>Assens</vt:lpstr>
      <vt:lpstr>Nyborg</vt:lpstr>
      <vt:lpstr>Nordfyn</vt:lpstr>
      <vt:lpstr>Kerteminde</vt:lpstr>
      <vt:lpstr>Særlige tilskud</vt:lpstr>
      <vt:lpstr>Øvrige tilskud</vt:lpstr>
      <vt:lpstr>ESTIMAT Sammenligning</vt:lpstr>
      <vt:lpstr>Ny fordeling afskrivninger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Majbritt Lagersted</dc:creator>
  <cp:lastModifiedBy>Hanne Heger Wendel</cp:lastModifiedBy>
  <dcterms:created xsi:type="dcterms:W3CDTF">2021-08-20T13:55:53Z</dcterms:created>
  <dcterms:modified xsi:type="dcterms:W3CDTF">2021-08-29T13:29:48Z</dcterms:modified>
</cp:coreProperties>
</file>