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d-print-fil-01\personligtdrev\hhw\FGU Sekretariat\Bilag til hjemmesiden\"/>
    </mc:Choice>
  </mc:AlternateContent>
  <xr:revisionPtr revIDLastSave="0" documentId="8_{BF939903-927D-4C73-B3C4-19FD9419F248}" xr6:coauthVersionLast="47" xr6:coauthVersionMax="47" xr10:uidLastSave="{00000000-0000-0000-0000-000000000000}"/>
  <bookViews>
    <workbookView xWindow="-120" yWindow="-120" windowWidth="20730" windowHeight="11160" xr2:uid="{8FAC36B1-E65C-4523-B611-4C1B2804D867}"/>
  </bookViews>
  <sheets>
    <sheet name="LIKVIDITETSUDVIKLING 2022" sheetId="4" r:id="rId1"/>
    <sheet name="BUDGET 2022" sheetId="1" r:id="rId2"/>
    <sheet name="BUDGET 202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J140" i="1"/>
  <c r="I140" i="1"/>
  <c r="H140" i="1"/>
  <c r="G140" i="1"/>
  <c r="F140" i="1"/>
  <c r="E140" i="1"/>
  <c r="J140" i="2"/>
  <c r="I140" i="2"/>
  <c r="H140" i="2"/>
  <c r="G140" i="2"/>
  <c r="F140" i="2"/>
  <c r="E140" i="2"/>
  <c r="F166" i="2"/>
  <c r="F166" i="1"/>
  <c r="J161" i="2" l="1"/>
  <c r="J197" i="2" s="1"/>
  <c r="I161" i="2"/>
  <c r="C161" i="2" s="1"/>
  <c r="H161" i="2"/>
  <c r="G161" i="2"/>
  <c r="F161" i="2"/>
  <c r="E161" i="2"/>
  <c r="J161" i="1"/>
  <c r="I161" i="1"/>
  <c r="H161" i="1"/>
  <c r="G161" i="1"/>
  <c r="F161" i="1"/>
  <c r="E161" i="1"/>
  <c r="D242" i="1"/>
  <c r="E242" i="1"/>
  <c r="F242" i="1"/>
  <c r="G242" i="1"/>
  <c r="H242" i="1"/>
  <c r="I242" i="1"/>
  <c r="J242" i="1"/>
  <c r="K242" i="1"/>
  <c r="C242" i="1"/>
  <c r="D234" i="1"/>
  <c r="E234" i="1"/>
  <c r="F234" i="1"/>
  <c r="G234" i="1"/>
  <c r="H234" i="1"/>
  <c r="I234" i="1"/>
  <c r="J234" i="1"/>
  <c r="K234" i="1"/>
  <c r="C234" i="1"/>
  <c r="D226" i="1"/>
  <c r="E226" i="1"/>
  <c r="F226" i="1"/>
  <c r="G226" i="1"/>
  <c r="H226" i="1"/>
  <c r="I226" i="1"/>
  <c r="J226" i="1"/>
  <c r="K226" i="1"/>
  <c r="D222" i="1"/>
  <c r="E222" i="1"/>
  <c r="F222" i="1"/>
  <c r="G222" i="1"/>
  <c r="H222" i="1"/>
  <c r="I222" i="1"/>
  <c r="J222" i="1"/>
  <c r="K222" i="1"/>
  <c r="D218" i="1"/>
  <c r="E218" i="1"/>
  <c r="F218" i="1"/>
  <c r="G218" i="1"/>
  <c r="H218" i="1"/>
  <c r="I218" i="1"/>
  <c r="J218" i="1"/>
  <c r="K218" i="1"/>
  <c r="D208" i="1"/>
  <c r="E208" i="1"/>
  <c r="F208" i="1"/>
  <c r="G208" i="1"/>
  <c r="H208" i="1"/>
  <c r="I208" i="1"/>
  <c r="J208" i="1"/>
  <c r="K208" i="1"/>
  <c r="D197" i="1"/>
  <c r="G197" i="1"/>
  <c r="H197" i="1"/>
  <c r="I197" i="1"/>
  <c r="J197" i="1"/>
  <c r="K197" i="1"/>
  <c r="D135" i="1"/>
  <c r="E135" i="1"/>
  <c r="F135" i="1"/>
  <c r="G135" i="1"/>
  <c r="H135" i="1"/>
  <c r="I135" i="1"/>
  <c r="J135" i="1"/>
  <c r="K135" i="1"/>
  <c r="D121" i="1"/>
  <c r="E121" i="1"/>
  <c r="F121" i="1"/>
  <c r="G121" i="1"/>
  <c r="H121" i="1"/>
  <c r="I121" i="1"/>
  <c r="J121" i="1"/>
  <c r="K121" i="1"/>
  <c r="F122" i="1"/>
  <c r="K122" i="1"/>
  <c r="K124" i="1" s="1"/>
  <c r="F124" i="1"/>
  <c r="D111" i="1"/>
  <c r="E111" i="1"/>
  <c r="F111" i="1"/>
  <c r="G111" i="1"/>
  <c r="H111" i="1"/>
  <c r="I111" i="1"/>
  <c r="J111" i="1"/>
  <c r="K111" i="1"/>
  <c r="D106" i="1"/>
  <c r="D122" i="1" s="1"/>
  <c r="D124" i="1" s="1"/>
  <c r="D126" i="1" s="1"/>
  <c r="E106" i="1"/>
  <c r="E122" i="1" s="1"/>
  <c r="E124" i="1" s="1"/>
  <c r="F106" i="1"/>
  <c r="G106" i="1"/>
  <c r="G122" i="1" s="1"/>
  <c r="G124" i="1" s="1"/>
  <c r="H106" i="1"/>
  <c r="H122" i="1" s="1"/>
  <c r="H124" i="1" s="1"/>
  <c r="I106" i="1"/>
  <c r="I122" i="1" s="1"/>
  <c r="I124" i="1" s="1"/>
  <c r="J106" i="1"/>
  <c r="J122" i="1" s="1"/>
  <c r="J124" i="1" s="1"/>
  <c r="K106" i="1"/>
  <c r="D64" i="1"/>
  <c r="D62" i="1"/>
  <c r="E62" i="1"/>
  <c r="F62" i="1"/>
  <c r="G62" i="1"/>
  <c r="H62" i="1"/>
  <c r="I62" i="1"/>
  <c r="J62" i="1"/>
  <c r="K62" i="1"/>
  <c r="D58" i="1"/>
  <c r="E58" i="1"/>
  <c r="F58" i="1"/>
  <c r="G58" i="1"/>
  <c r="H58" i="1"/>
  <c r="I58" i="1"/>
  <c r="J58" i="1"/>
  <c r="K58" i="1"/>
  <c r="C140" i="1"/>
  <c r="E197" i="2"/>
  <c r="D242" i="2"/>
  <c r="E242" i="2"/>
  <c r="F242" i="2"/>
  <c r="G242" i="2"/>
  <c r="H242" i="2"/>
  <c r="I242" i="2"/>
  <c r="J242" i="2"/>
  <c r="K242" i="2"/>
  <c r="C242" i="2"/>
  <c r="K208" i="2"/>
  <c r="J208" i="2"/>
  <c r="I208" i="2"/>
  <c r="H208" i="2"/>
  <c r="G208" i="2"/>
  <c r="F208" i="2"/>
  <c r="E208" i="2"/>
  <c r="D208" i="2"/>
  <c r="C208" i="2"/>
  <c r="K197" i="2"/>
  <c r="H197" i="2"/>
  <c r="G197" i="2"/>
  <c r="D197" i="2"/>
  <c r="D135" i="2"/>
  <c r="E135" i="2"/>
  <c r="F135" i="2"/>
  <c r="G135" i="2"/>
  <c r="H135" i="2"/>
  <c r="I135" i="2"/>
  <c r="J135" i="2"/>
  <c r="K135" i="2"/>
  <c r="C135" i="2"/>
  <c r="H122" i="2"/>
  <c r="K122" i="2"/>
  <c r="H124" i="2"/>
  <c r="K124" i="2"/>
  <c r="D121" i="2"/>
  <c r="E121" i="2"/>
  <c r="F121" i="2"/>
  <c r="G121" i="2"/>
  <c r="H121" i="2"/>
  <c r="I121" i="2"/>
  <c r="J121" i="2"/>
  <c r="K121" i="2"/>
  <c r="C121" i="2"/>
  <c r="D111" i="2"/>
  <c r="E111" i="2"/>
  <c r="F111" i="2"/>
  <c r="G111" i="2"/>
  <c r="H111" i="2"/>
  <c r="I111" i="2"/>
  <c r="J111" i="2"/>
  <c r="K111" i="2"/>
  <c r="D106" i="2"/>
  <c r="D122" i="2" s="1"/>
  <c r="D124" i="2" s="1"/>
  <c r="D126" i="2" s="1"/>
  <c r="E106" i="2"/>
  <c r="E122" i="2" s="1"/>
  <c r="E124" i="2" s="1"/>
  <c r="F106" i="2"/>
  <c r="G106" i="2"/>
  <c r="G122" i="2" s="1"/>
  <c r="G124" i="2" s="1"/>
  <c r="H106" i="2"/>
  <c r="I106" i="2"/>
  <c r="J106" i="2"/>
  <c r="J122" i="2" s="1"/>
  <c r="J124" i="2" s="1"/>
  <c r="K106" i="2"/>
  <c r="D81" i="2"/>
  <c r="E81" i="2"/>
  <c r="F81" i="2"/>
  <c r="G81" i="2"/>
  <c r="H81" i="2"/>
  <c r="I81" i="2"/>
  <c r="J81" i="2"/>
  <c r="K81" i="2"/>
  <c r="C81" i="2"/>
  <c r="D76" i="2"/>
  <c r="E76" i="2"/>
  <c r="F76" i="2"/>
  <c r="G76" i="2"/>
  <c r="H76" i="2"/>
  <c r="I76" i="2"/>
  <c r="J76" i="2"/>
  <c r="K76" i="2"/>
  <c r="C76" i="2"/>
  <c r="D69" i="2"/>
  <c r="E69" i="2"/>
  <c r="F69" i="2"/>
  <c r="G69" i="2"/>
  <c r="H69" i="2"/>
  <c r="I69" i="2"/>
  <c r="J69" i="2"/>
  <c r="K69" i="2"/>
  <c r="C69" i="2"/>
  <c r="D64" i="2"/>
  <c r="G64" i="2"/>
  <c r="J64" i="2"/>
  <c r="D62" i="2"/>
  <c r="E62" i="2"/>
  <c r="F62" i="2"/>
  <c r="G62" i="2"/>
  <c r="H62" i="2"/>
  <c r="I62" i="2"/>
  <c r="J62" i="2"/>
  <c r="K62" i="2"/>
  <c r="C62" i="2"/>
  <c r="D58" i="2"/>
  <c r="E58" i="2"/>
  <c r="F58" i="2"/>
  <c r="G58" i="2"/>
  <c r="H58" i="2"/>
  <c r="I58" i="2"/>
  <c r="J58" i="2"/>
  <c r="K58" i="2"/>
  <c r="C58" i="2"/>
  <c r="D45" i="2"/>
  <c r="E45" i="2"/>
  <c r="E64" i="2" s="1"/>
  <c r="F45" i="2"/>
  <c r="F64" i="2" s="1"/>
  <c r="G45" i="2"/>
  <c r="H45" i="2"/>
  <c r="H64" i="2" s="1"/>
  <c r="H126" i="2" s="1"/>
  <c r="I45" i="2"/>
  <c r="I64" i="2" s="1"/>
  <c r="J45" i="2"/>
  <c r="K45" i="2"/>
  <c r="K64" i="2" s="1"/>
  <c r="K126" i="2" s="1"/>
  <c r="K228" i="2" s="1"/>
  <c r="K236" i="2" s="1"/>
  <c r="K244" i="2" s="1"/>
  <c r="C45" i="2"/>
  <c r="C64" i="2" s="1"/>
  <c r="C44" i="2"/>
  <c r="C43" i="2"/>
  <c r="C42" i="2"/>
  <c r="C41" i="2"/>
  <c r="C40" i="2"/>
  <c r="C39" i="2"/>
  <c r="C57" i="2"/>
  <c r="C56" i="2"/>
  <c r="C55" i="2"/>
  <c r="C54" i="2"/>
  <c r="C53" i="2"/>
  <c r="C52" i="2"/>
  <c r="C51" i="2"/>
  <c r="C50" i="2"/>
  <c r="C49" i="2"/>
  <c r="C48" i="2"/>
  <c r="C61" i="2"/>
  <c r="C68" i="2"/>
  <c r="C67" i="2"/>
  <c r="C72" i="2"/>
  <c r="C73" i="2"/>
  <c r="C74" i="2"/>
  <c r="C75" i="2"/>
  <c r="C80" i="2"/>
  <c r="C79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106" i="2" s="1"/>
  <c r="C88" i="2"/>
  <c r="C87" i="2"/>
  <c r="C86" i="2"/>
  <c r="C85" i="2"/>
  <c r="C84" i="2"/>
  <c r="C109" i="2"/>
  <c r="C111" i="2" s="1"/>
  <c r="C120" i="2"/>
  <c r="C119" i="2"/>
  <c r="C118" i="2"/>
  <c r="C117" i="2"/>
  <c r="C116" i="2"/>
  <c r="C115" i="2"/>
  <c r="C114" i="2"/>
  <c r="C134" i="2"/>
  <c r="C133" i="2"/>
  <c r="C132" i="2"/>
  <c r="C131" i="2"/>
  <c r="C130" i="2"/>
  <c r="C129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39" i="2"/>
  <c r="C138" i="2"/>
  <c r="C207" i="2"/>
  <c r="C206" i="2"/>
  <c r="C205" i="2"/>
  <c r="C204" i="2"/>
  <c r="C203" i="2"/>
  <c r="C202" i="2"/>
  <c r="C201" i="2"/>
  <c r="C200" i="2"/>
  <c r="C217" i="2"/>
  <c r="C216" i="2"/>
  <c r="C218" i="2" s="1"/>
  <c r="C215" i="2"/>
  <c r="C214" i="2"/>
  <c r="C213" i="2"/>
  <c r="C212" i="2"/>
  <c r="C211" i="2"/>
  <c r="C221" i="2"/>
  <c r="C225" i="2"/>
  <c r="C226" i="2" s="1"/>
  <c r="C231" i="2"/>
  <c r="C232" i="2"/>
  <c r="C233" i="2"/>
  <c r="C241" i="2"/>
  <c r="C240" i="2"/>
  <c r="C239" i="2"/>
  <c r="C44" i="1"/>
  <c r="C43" i="1"/>
  <c r="C42" i="1"/>
  <c r="C41" i="1"/>
  <c r="C40" i="1"/>
  <c r="C39" i="1"/>
  <c r="C68" i="1"/>
  <c r="C67" i="1"/>
  <c r="C61" i="1"/>
  <c r="C57" i="1"/>
  <c r="C56" i="1"/>
  <c r="C55" i="1"/>
  <c r="C54" i="1"/>
  <c r="C53" i="1"/>
  <c r="C52" i="1"/>
  <c r="C51" i="1"/>
  <c r="C50" i="1"/>
  <c r="C49" i="1"/>
  <c r="C58" i="1" s="1"/>
  <c r="C48" i="1"/>
  <c r="C75" i="1"/>
  <c r="C74" i="1"/>
  <c r="C73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109" i="1"/>
  <c r="C111" i="1" s="1"/>
  <c r="C120" i="1"/>
  <c r="C119" i="1"/>
  <c r="C118" i="1"/>
  <c r="C117" i="1"/>
  <c r="C116" i="1"/>
  <c r="C115" i="1"/>
  <c r="C114" i="1"/>
  <c r="C134" i="1"/>
  <c r="C133" i="1"/>
  <c r="C132" i="1"/>
  <c r="C131" i="1"/>
  <c r="C130" i="1"/>
  <c r="C129" i="1"/>
  <c r="C139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38" i="1"/>
  <c r="C241" i="1"/>
  <c r="C240" i="1"/>
  <c r="C239" i="1"/>
  <c r="C233" i="1"/>
  <c r="C232" i="1"/>
  <c r="C231" i="1"/>
  <c r="C225" i="1"/>
  <c r="C221" i="1"/>
  <c r="C217" i="1"/>
  <c r="C216" i="1"/>
  <c r="C215" i="1"/>
  <c r="C214" i="1"/>
  <c r="C213" i="1"/>
  <c r="C212" i="1"/>
  <c r="C211" i="1"/>
  <c r="C207" i="1"/>
  <c r="C206" i="1"/>
  <c r="C205" i="1"/>
  <c r="C204" i="1"/>
  <c r="C203" i="1"/>
  <c r="C202" i="1"/>
  <c r="C201" i="1"/>
  <c r="C200" i="1"/>
  <c r="K226" i="2"/>
  <c r="J226" i="2"/>
  <c r="I226" i="2"/>
  <c r="H226" i="2"/>
  <c r="G226" i="2"/>
  <c r="F226" i="2"/>
  <c r="E226" i="2"/>
  <c r="D226" i="2"/>
  <c r="C226" i="1"/>
  <c r="K222" i="2"/>
  <c r="J222" i="2"/>
  <c r="I222" i="2"/>
  <c r="H222" i="2"/>
  <c r="G222" i="2"/>
  <c r="F222" i="2"/>
  <c r="E222" i="2"/>
  <c r="D222" i="2"/>
  <c r="C222" i="2"/>
  <c r="C222" i="1"/>
  <c r="K218" i="2"/>
  <c r="J218" i="2"/>
  <c r="I218" i="2"/>
  <c r="H218" i="2"/>
  <c r="G218" i="2"/>
  <c r="F218" i="2"/>
  <c r="E218" i="2"/>
  <c r="D218" i="2"/>
  <c r="K81" i="1"/>
  <c r="J81" i="1"/>
  <c r="I81" i="1"/>
  <c r="H81" i="1"/>
  <c r="G81" i="1"/>
  <c r="F81" i="1"/>
  <c r="E81" i="1"/>
  <c r="D81" i="1"/>
  <c r="C81" i="1"/>
  <c r="C80" i="1"/>
  <c r="C79" i="1"/>
  <c r="C72" i="1"/>
  <c r="K76" i="1"/>
  <c r="J76" i="1"/>
  <c r="I76" i="1"/>
  <c r="H76" i="1"/>
  <c r="G76" i="1"/>
  <c r="F76" i="1"/>
  <c r="E76" i="1"/>
  <c r="D76" i="1"/>
  <c r="K69" i="1"/>
  <c r="J69" i="1"/>
  <c r="I69" i="1"/>
  <c r="H69" i="1"/>
  <c r="G69" i="1"/>
  <c r="F69" i="1"/>
  <c r="E69" i="1"/>
  <c r="D69" i="1"/>
  <c r="C69" i="1"/>
  <c r="C62" i="1"/>
  <c r="K45" i="1"/>
  <c r="K64" i="1" s="1"/>
  <c r="J45" i="1"/>
  <c r="J64" i="1" s="1"/>
  <c r="I45" i="1"/>
  <c r="I64" i="1" s="1"/>
  <c r="H45" i="1"/>
  <c r="H64" i="1" s="1"/>
  <c r="G45" i="1"/>
  <c r="G64" i="1" s="1"/>
  <c r="F45" i="1"/>
  <c r="F64" i="1" s="1"/>
  <c r="F126" i="1" s="1"/>
  <c r="E45" i="1"/>
  <c r="E64" i="1" s="1"/>
  <c r="D45" i="1"/>
  <c r="I10" i="4"/>
  <c r="C140" i="2" l="1"/>
  <c r="C197" i="2" s="1"/>
  <c r="F197" i="2"/>
  <c r="D228" i="2"/>
  <c r="D236" i="2" s="1"/>
  <c r="D244" i="2" s="1"/>
  <c r="I122" i="2"/>
  <c r="I124" i="2" s="1"/>
  <c r="I126" i="2" s="1"/>
  <c r="J126" i="2"/>
  <c r="J228" i="2" s="1"/>
  <c r="J236" i="2" s="1"/>
  <c r="J244" i="2" s="1"/>
  <c r="G126" i="2"/>
  <c r="E197" i="1"/>
  <c r="F197" i="1"/>
  <c r="F228" i="1" s="1"/>
  <c r="F236" i="1" s="1"/>
  <c r="F244" i="1" s="1"/>
  <c r="D228" i="1"/>
  <c r="D236" i="1" s="1"/>
  <c r="D244" i="1" s="1"/>
  <c r="J126" i="1"/>
  <c r="I126" i="1"/>
  <c r="H126" i="1"/>
  <c r="H228" i="1" s="1"/>
  <c r="H236" i="1" s="1"/>
  <c r="H244" i="1" s="1"/>
  <c r="G126" i="1"/>
  <c r="G228" i="1" s="1"/>
  <c r="G236" i="1" s="1"/>
  <c r="G244" i="1" s="1"/>
  <c r="E126" i="1"/>
  <c r="C106" i="1"/>
  <c r="G228" i="2"/>
  <c r="G236" i="2" s="1"/>
  <c r="G244" i="2" s="1"/>
  <c r="H228" i="2"/>
  <c r="H236" i="2" s="1"/>
  <c r="H244" i="2" s="1"/>
  <c r="E126" i="2"/>
  <c r="E228" i="2" s="1"/>
  <c r="E236" i="2" s="1"/>
  <c r="E244" i="2" s="1"/>
  <c r="J228" i="1"/>
  <c r="J236" i="1" s="1"/>
  <c r="J244" i="1" s="1"/>
  <c r="I228" i="1"/>
  <c r="I236" i="1" s="1"/>
  <c r="I244" i="1" s="1"/>
  <c r="K126" i="1"/>
  <c r="K228" i="1" s="1"/>
  <c r="K236" i="1" s="1"/>
  <c r="K244" i="1" s="1"/>
  <c r="I197" i="2"/>
  <c r="C161" i="1"/>
  <c r="C197" i="1" s="1"/>
  <c r="F122" i="2"/>
  <c r="F124" i="2" s="1"/>
  <c r="F126" i="2" s="1"/>
  <c r="C122" i="2"/>
  <c r="C124" i="2" s="1"/>
  <c r="C126" i="2" s="1"/>
  <c r="C218" i="1"/>
  <c r="C208" i="1"/>
  <c r="C135" i="1"/>
  <c r="C76" i="1"/>
  <c r="C45" i="1"/>
  <c r="C64" i="1" s="1"/>
  <c r="C121" i="1"/>
  <c r="I8" i="4"/>
  <c r="F228" i="2" l="1"/>
  <c r="F236" i="2" s="1"/>
  <c r="F244" i="2" s="1"/>
  <c r="I228" i="2"/>
  <c r="I236" i="2" s="1"/>
  <c r="I244" i="2" s="1"/>
  <c r="E228" i="1"/>
  <c r="E236" i="1" s="1"/>
  <c r="E244" i="1" s="1"/>
  <c r="C122" i="1"/>
  <c r="C124" i="1" s="1"/>
  <c r="C126" i="1" s="1"/>
  <c r="C228" i="2"/>
  <c r="C236" i="2" s="1"/>
  <c r="C244" i="2" s="1"/>
  <c r="C10" i="1"/>
  <c r="D10" i="1"/>
  <c r="C11" i="1"/>
  <c r="D11" i="1"/>
  <c r="C12" i="1"/>
  <c r="D12" i="1"/>
  <c r="C16" i="1"/>
  <c r="D16" i="1"/>
  <c r="C17" i="1"/>
  <c r="D17" i="1"/>
  <c r="C18" i="1"/>
  <c r="D18" i="1"/>
  <c r="D20" i="1"/>
  <c r="C23" i="1"/>
  <c r="D23" i="1"/>
  <c r="C25" i="1"/>
  <c r="D25" i="1"/>
  <c r="C26" i="1"/>
  <c r="C27" i="1"/>
  <c r="D27" i="1"/>
  <c r="C28" i="1"/>
  <c r="D28" i="1"/>
  <c r="C32" i="1"/>
  <c r="D32" i="1"/>
  <c r="K32" i="2"/>
  <c r="K28" i="2"/>
  <c r="K27" i="2"/>
  <c r="K26" i="2"/>
  <c r="K25" i="2"/>
  <c r="K24" i="2"/>
  <c r="K23" i="2"/>
  <c r="K20" i="2"/>
  <c r="K18" i="2"/>
  <c r="K17" i="2"/>
  <c r="K16" i="2"/>
  <c r="K12" i="2"/>
  <c r="K11" i="2"/>
  <c r="K10" i="2"/>
  <c r="J32" i="2"/>
  <c r="J28" i="2"/>
  <c r="J27" i="2"/>
  <c r="J26" i="2"/>
  <c r="J25" i="2"/>
  <c r="J24" i="2"/>
  <c r="J23" i="2"/>
  <c r="J20" i="2"/>
  <c r="J18" i="2"/>
  <c r="J17" i="2"/>
  <c r="J16" i="2"/>
  <c r="J12" i="2"/>
  <c r="J11" i="2"/>
  <c r="J10" i="2"/>
  <c r="I32" i="2"/>
  <c r="I28" i="2"/>
  <c r="I27" i="2"/>
  <c r="I26" i="2"/>
  <c r="I25" i="2"/>
  <c r="I24" i="2"/>
  <c r="I23" i="2"/>
  <c r="I20" i="2"/>
  <c r="I18" i="2"/>
  <c r="I17" i="2"/>
  <c r="I16" i="2"/>
  <c r="I12" i="2"/>
  <c r="I11" i="2"/>
  <c r="I10" i="2"/>
  <c r="H32" i="2"/>
  <c r="H28" i="2"/>
  <c r="H27" i="2"/>
  <c r="H26" i="2"/>
  <c r="H25" i="2"/>
  <c r="H24" i="2"/>
  <c r="H23" i="2"/>
  <c r="H20" i="2"/>
  <c r="H18" i="2"/>
  <c r="H17" i="2"/>
  <c r="H16" i="2"/>
  <c r="H12" i="2"/>
  <c r="H11" i="2"/>
  <c r="H10" i="2"/>
  <c r="G32" i="2"/>
  <c r="G28" i="2"/>
  <c r="G27" i="2"/>
  <c r="G26" i="2"/>
  <c r="G25" i="2"/>
  <c r="G24" i="2"/>
  <c r="G23" i="2"/>
  <c r="G20" i="2"/>
  <c r="G18" i="2"/>
  <c r="G17" i="2"/>
  <c r="G16" i="2"/>
  <c r="G12" i="2"/>
  <c r="G11" i="2"/>
  <c r="G10" i="2"/>
  <c r="F32" i="2"/>
  <c r="F28" i="2"/>
  <c r="F27" i="2"/>
  <c r="F26" i="2"/>
  <c r="F25" i="2"/>
  <c r="F24" i="2"/>
  <c r="F23" i="2"/>
  <c r="F20" i="2"/>
  <c r="F18" i="2"/>
  <c r="F17" i="2"/>
  <c r="F16" i="2"/>
  <c r="F12" i="2"/>
  <c r="F11" i="2"/>
  <c r="F10" i="2"/>
  <c r="E32" i="2"/>
  <c r="E28" i="2"/>
  <c r="E27" i="2"/>
  <c r="E26" i="2"/>
  <c r="E25" i="2"/>
  <c r="E24" i="2"/>
  <c r="E23" i="2"/>
  <c r="E20" i="2"/>
  <c r="E18" i="2"/>
  <c r="E17" i="2"/>
  <c r="E16" i="2"/>
  <c r="E12" i="2"/>
  <c r="E11" i="2"/>
  <c r="E10" i="2"/>
  <c r="D32" i="2"/>
  <c r="D28" i="2"/>
  <c r="D27" i="2"/>
  <c r="D26" i="2"/>
  <c r="D25" i="2"/>
  <c r="D24" i="2"/>
  <c r="D23" i="2"/>
  <c r="D20" i="2"/>
  <c r="D18" i="2"/>
  <c r="D17" i="2"/>
  <c r="D16" i="2"/>
  <c r="D12" i="2"/>
  <c r="D11" i="2"/>
  <c r="D10" i="2"/>
  <c r="D13" i="2" s="1"/>
  <c r="C32" i="2"/>
  <c r="C28" i="2"/>
  <c r="C27" i="2"/>
  <c r="C26" i="2"/>
  <c r="C25" i="2"/>
  <c r="C24" i="2"/>
  <c r="C23" i="2"/>
  <c r="C20" i="2"/>
  <c r="C18" i="2"/>
  <c r="C17" i="2"/>
  <c r="C16" i="2"/>
  <c r="C12" i="2"/>
  <c r="C11" i="2"/>
  <c r="C10" i="2"/>
  <c r="K32" i="1"/>
  <c r="K28" i="1"/>
  <c r="K27" i="1"/>
  <c r="K25" i="1"/>
  <c r="K23" i="1"/>
  <c r="K20" i="1"/>
  <c r="K18" i="1"/>
  <c r="K17" i="1"/>
  <c r="K16" i="1"/>
  <c r="K12" i="1"/>
  <c r="K11" i="1"/>
  <c r="K10" i="1"/>
  <c r="J32" i="1"/>
  <c r="J28" i="1"/>
  <c r="J27" i="1"/>
  <c r="J26" i="1"/>
  <c r="J25" i="1"/>
  <c r="J23" i="1"/>
  <c r="J20" i="1"/>
  <c r="J18" i="1"/>
  <c r="J17" i="1"/>
  <c r="J16" i="1"/>
  <c r="J12" i="1"/>
  <c r="J11" i="1"/>
  <c r="J10" i="1"/>
  <c r="I32" i="1"/>
  <c r="I28" i="1"/>
  <c r="I27" i="1"/>
  <c r="I26" i="1"/>
  <c r="I25" i="1"/>
  <c r="I24" i="1"/>
  <c r="I23" i="1"/>
  <c r="I20" i="1"/>
  <c r="I18" i="1"/>
  <c r="I17" i="1"/>
  <c r="I16" i="1"/>
  <c r="I12" i="1"/>
  <c r="I11" i="1"/>
  <c r="I10" i="1"/>
  <c r="H32" i="1"/>
  <c r="H28" i="1"/>
  <c r="H27" i="1"/>
  <c r="H26" i="1"/>
  <c r="H25" i="1"/>
  <c r="H24" i="1"/>
  <c r="H23" i="1"/>
  <c r="H20" i="1"/>
  <c r="H18" i="1"/>
  <c r="H17" i="1"/>
  <c r="H16" i="1"/>
  <c r="H12" i="1"/>
  <c r="H11" i="1"/>
  <c r="H10" i="1"/>
  <c r="G32" i="1"/>
  <c r="G28" i="1"/>
  <c r="G27" i="1"/>
  <c r="G25" i="1"/>
  <c r="G24" i="1"/>
  <c r="G23" i="1"/>
  <c r="G20" i="1"/>
  <c r="G18" i="1"/>
  <c r="G17" i="1"/>
  <c r="G16" i="1"/>
  <c r="G12" i="1"/>
  <c r="G11" i="1"/>
  <c r="G10" i="1"/>
  <c r="F32" i="1"/>
  <c r="F28" i="1"/>
  <c r="F27" i="1"/>
  <c r="F26" i="1"/>
  <c r="F25" i="1"/>
  <c r="F23" i="1"/>
  <c r="F20" i="1"/>
  <c r="F18" i="1"/>
  <c r="F17" i="1"/>
  <c r="F16" i="1"/>
  <c r="F12" i="1"/>
  <c r="F11" i="1"/>
  <c r="F10" i="1"/>
  <c r="E32" i="1"/>
  <c r="E28" i="1"/>
  <c r="E27" i="1"/>
  <c r="E26" i="1"/>
  <c r="E25" i="1"/>
  <c r="E23" i="1"/>
  <c r="E20" i="1"/>
  <c r="E18" i="1"/>
  <c r="E17" i="1"/>
  <c r="E16" i="1"/>
  <c r="E12" i="1"/>
  <c r="E11" i="1"/>
  <c r="E10" i="1"/>
  <c r="K26" i="1"/>
  <c r="G26" i="1"/>
  <c r="D26" i="1"/>
  <c r="K24" i="1"/>
  <c r="J24" i="1"/>
  <c r="F24" i="1"/>
  <c r="E24" i="1"/>
  <c r="D24" i="1"/>
  <c r="D186" i="1"/>
  <c r="C20" i="1" l="1"/>
  <c r="C21" i="1" s="1"/>
  <c r="D13" i="1"/>
  <c r="F13" i="1"/>
  <c r="I13" i="1"/>
  <c r="G21" i="2"/>
  <c r="H21" i="2"/>
  <c r="K21" i="2"/>
  <c r="J21" i="2"/>
  <c r="F21" i="2"/>
  <c r="F30" i="2" s="1"/>
  <c r="F34" i="2" s="1"/>
  <c r="D21" i="2"/>
  <c r="D30" i="2" s="1"/>
  <c r="D34" i="2" s="1"/>
  <c r="C21" i="2"/>
  <c r="J13" i="2"/>
  <c r="E13" i="2"/>
  <c r="I13" i="2"/>
  <c r="C13" i="2"/>
  <c r="K21" i="1"/>
  <c r="J21" i="1"/>
  <c r="J30" i="1" s="1"/>
  <c r="J34" i="1" s="1"/>
  <c r="H21" i="1"/>
  <c r="G21" i="1"/>
  <c r="D21" i="1"/>
  <c r="D30" i="1" s="1"/>
  <c r="D34" i="1" s="1"/>
  <c r="C13" i="1"/>
  <c r="K13" i="1"/>
  <c r="K30" i="1" s="1"/>
  <c r="K34" i="1" s="1"/>
  <c r="J13" i="1"/>
  <c r="E13" i="1"/>
  <c r="H13" i="1"/>
  <c r="F21" i="1"/>
  <c r="E21" i="1"/>
  <c r="G13" i="1"/>
  <c r="I21" i="1"/>
  <c r="I30" i="1" s="1"/>
  <c r="I34" i="1" s="1"/>
  <c r="E21" i="2"/>
  <c r="E30" i="2" s="1"/>
  <c r="E34" i="2" s="1"/>
  <c r="H13" i="2"/>
  <c r="G13" i="2"/>
  <c r="F13" i="2"/>
  <c r="I21" i="2"/>
  <c r="K13" i="2"/>
  <c r="K30" i="2"/>
  <c r="K34" i="2" s="1"/>
  <c r="D36" i="2" l="1"/>
  <c r="D37" i="2"/>
  <c r="I30" i="2"/>
  <c r="I34" i="2" s="1"/>
  <c r="I36" i="2" s="1"/>
  <c r="G30" i="2"/>
  <c r="G34" i="2" s="1"/>
  <c r="G36" i="2" s="1"/>
  <c r="K36" i="2"/>
  <c r="K37" i="2"/>
  <c r="F30" i="1"/>
  <c r="F34" i="1" s="1"/>
  <c r="F36" i="1" s="1"/>
  <c r="I37" i="2"/>
  <c r="F36" i="2"/>
  <c r="F37" i="2"/>
  <c r="E37" i="2"/>
  <c r="E36" i="2"/>
  <c r="H30" i="1"/>
  <c r="H34" i="1" s="1"/>
  <c r="H37" i="1" s="1"/>
  <c r="K37" i="1"/>
  <c r="K36" i="1"/>
  <c r="I37" i="1"/>
  <c r="I36" i="1"/>
  <c r="J37" i="1"/>
  <c r="J36" i="1"/>
  <c r="E30" i="1"/>
  <c r="E34" i="1" s="1"/>
  <c r="D36" i="1"/>
  <c r="D37" i="1"/>
  <c r="J30" i="2"/>
  <c r="J34" i="2" s="1"/>
  <c r="C30" i="2"/>
  <c r="C34" i="2" s="1"/>
  <c r="H30" i="2"/>
  <c r="H34" i="2" s="1"/>
  <c r="G30" i="1"/>
  <c r="G34" i="1" s="1"/>
  <c r="C228" i="1"/>
  <c r="C236" i="1" s="1"/>
  <c r="C244" i="1" s="1"/>
  <c r="C24" i="1"/>
  <c r="C30" i="1" s="1"/>
  <c r="F37" i="1" l="1"/>
  <c r="G37" i="2"/>
  <c r="J36" i="2"/>
  <c r="J37" i="2"/>
  <c r="H36" i="2"/>
  <c r="H37" i="2"/>
  <c r="C36" i="2"/>
  <c r="C37" i="2"/>
  <c r="H36" i="1"/>
  <c r="G37" i="1"/>
  <c r="G36" i="1"/>
  <c r="E36" i="1"/>
  <c r="E37" i="1"/>
  <c r="C34" i="1"/>
  <c r="C36" i="1" s="1"/>
  <c r="I6" i="4"/>
  <c r="I13" i="4" s="1"/>
  <c r="C37" i="1" l="1"/>
</calcChain>
</file>

<file path=xl/sharedStrings.xml><?xml version="1.0" encoding="utf-8"?>
<sst xmlns="http://schemas.openxmlformats.org/spreadsheetml/2006/main" count="986" uniqueCount="427">
  <si>
    <t>BUDGET 2022</t>
  </si>
  <si>
    <t>BUDGET 2023</t>
  </si>
  <si>
    <t>FÆLLES</t>
  </si>
  <si>
    <t>ODENSE</t>
  </si>
  <si>
    <t>20</t>
  </si>
  <si>
    <t>Valuta</t>
  </si>
  <si>
    <t>DKK</t>
  </si>
  <si>
    <t/>
  </si>
  <si>
    <t>BUDGETOPFØLGNING</t>
  </si>
  <si>
    <t>1</t>
  </si>
  <si>
    <t>Indtægtsbevilling</t>
  </si>
  <si>
    <t>2</t>
  </si>
  <si>
    <t>Salg af varer og tjenester</t>
  </si>
  <si>
    <t>3</t>
  </si>
  <si>
    <t>Internt statslig salg</t>
  </si>
  <si>
    <t>4</t>
  </si>
  <si>
    <t>Ordinær Driftsindtægter</t>
  </si>
  <si>
    <t>Ordinær Droftsomkostninger</t>
  </si>
  <si>
    <t>5</t>
  </si>
  <si>
    <t>Lagerregulæring</t>
  </si>
  <si>
    <t>6</t>
  </si>
  <si>
    <t>Husleje/ leje og leasing</t>
  </si>
  <si>
    <t>7</t>
  </si>
  <si>
    <t>Intert statligs køb</t>
  </si>
  <si>
    <t>11</t>
  </si>
  <si>
    <t>Personaleomkostninger</t>
  </si>
  <si>
    <t>12</t>
  </si>
  <si>
    <t>Ordinær Driftsomkostninger</t>
  </si>
  <si>
    <t>13</t>
  </si>
  <si>
    <t>Andre Indtægter</t>
  </si>
  <si>
    <t>14</t>
  </si>
  <si>
    <t>Andre Driftsomkostninger</t>
  </si>
  <si>
    <t>15</t>
  </si>
  <si>
    <t>Finansielle Indtægter</t>
  </si>
  <si>
    <t>16</t>
  </si>
  <si>
    <t>Finansielle omkostninger</t>
  </si>
  <si>
    <t>17</t>
  </si>
  <si>
    <t>Ekstra ordinære indtægter</t>
  </si>
  <si>
    <t>18</t>
  </si>
  <si>
    <t>Ekstra ordinære omkostninger</t>
  </si>
  <si>
    <t>19</t>
  </si>
  <si>
    <t>DRIFTSRESULTAT (før afskrivninger)</t>
  </si>
  <si>
    <t>Afskrivninger</t>
  </si>
  <si>
    <t>RESULTATOPGØRELSE</t>
  </si>
  <si>
    <t>KONTROL I</t>
  </si>
  <si>
    <t>KONTROL II</t>
  </si>
  <si>
    <t>101000</t>
  </si>
  <si>
    <t>Indtægtsført bevilling</t>
  </si>
  <si>
    <t>101101</t>
  </si>
  <si>
    <t>Driftstaxameter</t>
  </si>
  <si>
    <t>101102</t>
  </si>
  <si>
    <t>Udslusningstaxameter</t>
  </si>
  <si>
    <t>101103</t>
  </si>
  <si>
    <t>Kombinationsforløbstaxameter</t>
  </si>
  <si>
    <t>101104</t>
  </si>
  <si>
    <t>Afsøgningstaxameter</t>
  </si>
  <si>
    <t>101105</t>
  </si>
  <si>
    <t>Grundtilskud</t>
  </si>
  <si>
    <t>101120</t>
  </si>
  <si>
    <t>Øvrige tilskud</t>
  </si>
  <si>
    <t>109999</t>
  </si>
  <si>
    <t>Indtægtsbevilling i alt</t>
  </si>
  <si>
    <t>110000</t>
  </si>
  <si>
    <t>Salg af varer og tjenster</t>
  </si>
  <si>
    <t>111001</t>
  </si>
  <si>
    <t>Indtægter i henhold til betalingsloven</t>
  </si>
  <si>
    <t>111002</t>
  </si>
  <si>
    <t>Skoleydelse og løn, EGU-elever</t>
  </si>
  <si>
    <t>111003</t>
  </si>
  <si>
    <t>Salg til Kommuner med moms</t>
  </si>
  <si>
    <t>111004</t>
  </si>
  <si>
    <t>Salg til kommuner uden moms</t>
  </si>
  <si>
    <t>115001</t>
  </si>
  <si>
    <t>Huslejeindtægter</t>
  </si>
  <si>
    <t>116001</t>
  </si>
  <si>
    <t>Leje af forpagtningsaftaler</t>
  </si>
  <si>
    <t>118001</t>
  </si>
  <si>
    <t>Salg af producerede ydelser m/moms</t>
  </si>
  <si>
    <t>118002</t>
  </si>
  <si>
    <t>Salg af producerede ydelser u/moms</t>
  </si>
  <si>
    <t>118003</t>
  </si>
  <si>
    <t>Salg til elever</t>
  </si>
  <si>
    <t>118020</t>
  </si>
  <si>
    <t>Salg i øvrigt</t>
  </si>
  <si>
    <t>119999</t>
  </si>
  <si>
    <t>121100</t>
  </si>
  <si>
    <t>Internt statsligt salg af varer og tjenester</t>
  </si>
  <si>
    <t>121201</t>
  </si>
  <si>
    <t>Internt statsligt salg</t>
  </si>
  <si>
    <t>129999</t>
  </si>
  <si>
    <t>Internt statsligt salg af varer og tjenester i alt</t>
  </si>
  <si>
    <t>139999</t>
  </si>
  <si>
    <t>Ord.driftsindtægter i alt</t>
  </si>
  <si>
    <t>150000</t>
  </si>
  <si>
    <t>Ord. drift.omkostninger</t>
  </si>
  <si>
    <t>150100</t>
  </si>
  <si>
    <t>Ændring i lagre</t>
  </si>
  <si>
    <t>151501</t>
  </si>
  <si>
    <t>Lagerregulering</t>
  </si>
  <si>
    <t>159999</t>
  </si>
  <si>
    <t>Ændring i lagre i alt</t>
  </si>
  <si>
    <t>160000</t>
  </si>
  <si>
    <t>Husleje mv.</t>
  </si>
  <si>
    <t>161001</t>
  </si>
  <si>
    <t>Husleje m/moms</t>
  </si>
  <si>
    <t>161002</t>
  </si>
  <si>
    <t>Husleje u/moms</t>
  </si>
  <si>
    <t>162001</t>
  </si>
  <si>
    <t>Leje af arealer - rettigheder</t>
  </si>
  <si>
    <t>163001</t>
  </si>
  <si>
    <t>Leje og leasing i øvrigt</t>
  </si>
  <si>
    <t>169999</t>
  </si>
  <si>
    <t>Husleje mv. i alt</t>
  </si>
  <si>
    <t>170000</t>
  </si>
  <si>
    <t>Internt statsligt køb varer/tj</t>
  </si>
  <si>
    <t>171201</t>
  </si>
  <si>
    <t>Internt statsligt køb</t>
  </si>
  <si>
    <t>171501</t>
  </si>
  <si>
    <t>Internt statsligt køb af koncernfælles funktioner</t>
  </si>
  <si>
    <t>179999</t>
  </si>
  <si>
    <t>Internt statsligt køb varer/tj i alt</t>
  </si>
  <si>
    <t>180000</t>
  </si>
  <si>
    <t>180100</t>
  </si>
  <si>
    <t>Direkte lønomkostninger</t>
  </si>
  <si>
    <t>180501</t>
  </si>
  <si>
    <t>Bidrag til flexjobordning og barselsfonden</t>
  </si>
  <si>
    <t>180701</t>
  </si>
  <si>
    <t>Fordelte indirekte lønomkostninger</t>
  </si>
  <si>
    <t>180801</t>
  </si>
  <si>
    <t>Intern fordelte lønomkostninger</t>
  </si>
  <si>
    <t>180901</t>
  </si>
  <si>
    <t>Modkonto til konto 1808 interne lønomk.</t>
  </si>
  <si>
    <t>181101</t>
  </si>
  <si>
    <t>Egentlig løn</t>
  </si>
  <si>
    <t>181501</t>
  </si>
  <si>
    <t>Indefrosne feriepenge (modkonto)</t>
  </si>
  <si>
    <t>181601</t>
  </si>
  <si>
    <t>Feriepenge (modkonto)</t>
  </si>
  <si>
    <t>181801</t>
  </si>
  <si>
    <t>Egentlig løn, manuel</t>
  </si>
  <si>
    <t>181804</t>
  </si>
  <si>
    <t>Skoleydelse over 18, udeboende</t>
  </si>
  <si>
    <t>181805</t>
  </si>
  <si>
    <t>Skoleydelse EGU-elever til viderefakt.</t>
  </si>
  <si>
    <t>181806</t>
  </si>
  <si>
    <t>Løn EGU-elever til viderefakt.</t>
  </si>
  <si>
    <t>182101</t>
  </si>
  <si>
    <t>Udbetaling lønrefusion for lånt personale</t>
  </si>
  <si>
    <t>183101</t>
  </si>
  <si>
    <t>Overarbejde</t>
  </si>
  <si>
    <t>184101</t>
  </si>
  <si>
    <t>Merarbejde</t>
  </si>
  <si>
    <t>185101</t>
  </si>
  <si>
    <t>Løn og overarbejde</t>
  </si>
  <si>
    <t>185601</t>
  </si>
  <si>
    <t>Overarbejde (modkonto)</t>
  </si>
  <si>
    <t>186101</t>
  </si>
  <si>
    <t>Særskilt vederlæggelse</t>
  </si>
  <si>
    <t>186801</t>
  </si>
  <si>
    <t>Særskilt vederlæggelse uden årsværk, manuel</t>
  </si>
  <si>
    <t>187101</t>
  </si>
  <si>
    <t>Frivilling fratrædelsesordning</t>
  </si>
  <si>
    <t>187201</t>
  </si>
  <si>
    <t>Kapitaliseret pensionsalderforhøjelse</t>
  </si>
  <si>
    <t>187601</t>
  </si>
  <si>
    <t>Resultatløn og frivfratrædelsesordninger mv hensæt</t>
  </si>
  <si>
    <t>187999</t>
  </si>
  <si>
    <t>Direkte lønomkost. i alt</t>
  </si>
  <si>
    <t>188000</t>
  </si>
  <si>
    <t>Pensionsbidrag</t>
  </si>
  <si>
    <t>188101</t>
  </si>
  <si>
    <t>188301</t>
  </si>
  <si>
    <t>Pensionsbidrag manuel</t>
  </si>
  <si>
    <t>188499</t>
  </si>
  <si>
    <t>Pensionsbidrag i alt</t>
  </si>
  <si>
    <t>188500</t>
  </si>
  <si>
    <t>Lønrefusioner</t>
  </si>
  <si>
    <t>188701</t>
  </si>
  <si>
    <t>Refusion Fleksjob</t>
  </si>
  <si>
    <t>188710</t>
  </si>
  <si>
    <t>Refusion Sygedagpenge</t>
  </si>
  <si>
    <t>188801</t>
  </si>
  <si>
    <t>Refusion udlånt personale</t>
  </si>
  <si>
    <t>188901</t>
  </si>
  <si>
    <t>Tilskud fra Barselsfonden</t>
  </si>
  <si>
    <t>189001</t>
  </si>
  <si>
    <t>Refusion fra Efteruddannelsesfonden</t>
  </si>
  <si>
    <t>189101</t>
  </si>
  <si>
    <t>Øvrig kompensation fraværende personale</t>
  </si>
  <si>
    <t>189201</t>
  </si>
  <si>
    <t>Øvrig tilskud/refusion for beskæftigelse</t>
  </si>
  <si>
    <t>189599</t>
  </si>
  <si>
    <t>Lønrefusioner i alt</t>
  </si>
  <si>
    <t>189899</t>
  </si>
  <si>
    <t>Personaleomkostninger i alt</t>
  </si>
  <si>
    <t>199999</t>
  </si>
  <si>
    <t>Ord. driftsomkostninger i alt</t>
  </si>
  <si>
    <t>209999</t>
  </si>
  <si>
    <t>Resultat af ordinær drift</t>
  </si>
  <si>
    <t>210000</t>
  </si>
  <si>
    <t>Andre driftindtægter</t>
  </si>
  <si>
    <t>211001</t>
  </si>
  <si>
    <t>Indtægter fra SPS</t>
  </si>
  <si>
    <t>211020</t>
  </si>
  <si>
    <t>Øvrige indtægter</t>
  </si>
  <si>
    <t>211025</t>
  </si>
  <si>
    <t>IDV Indtægter</t>
  </si>
  <si>
    <t>211030</t>
  </si>
  <si>
    <t>Lærling indtægter</t>
  </si>
  <si>
    <t>211040</t>
  </si>
  <si>
    <t>Momskompensation</t>
  </si>
  <si>
    <t>219001</t>
  </si>
  <si>
    <t>Gevinst ved afhændelse af anlæg</t>
  </si>
  <si>
    <t>219999</t>
  </si>
  <si>
    <t>Andre driftindtægter i alt</t>
  </si>
  <si>
    <t>220000</t>
  </si>
  <si>
    <t>Andre ordinære driftsomkostninger</t>
  </si>
  <si>
    <t>220501</t>
  </si>
  <si>
    <t>Hensættelser, andet</t>
  </si>
  <si>
    <t>220701</t>
  </si>
  <si>
    <t>Fordelte indirekte omkostninger</t>
  </si>
  <si>
    <t>220801</t>
  </si>
  <si>
    <t>Intern fordeling af øvrige omkostninger</t>
  </si>
  <si>
    <t>220901</t>
  </si>
  <si>
    <t>Modkonto til 2208 interne omkostninger</t>
  </si>
  <si>
    <t>221001</t>
  </si>
  <si>
    <t>Rejse og befordring m/moms, ansatte</t>
  </si>
  <si>
    <t>221002</t>
  </si>
  <si>
    <t>Rejse og befordring u/moms, ansatte</t>
  </si>
  <si>
    <t>221003</t>
  </si>
  <si>
    <t>Befordring, censor</t>
  </si>
  <si>
    <t>222001</t>
  </si>
  <si>
    <t>Ekstern repræsentation</t>
  </si>
  <si>
    <t>222002</t>
  </si>
  <si>
    <t>Intern repræsentation</t>
  </si>
  <si>
    <t>223001</t>
  </si>
  <si>
    <t>Rep. og vedligeholdelse, bygninger</t>
  </si>
  <si>
    <t>223002</t>
  </si>
  <si>
    <t>Rep. og vedligeholdelse, køretøjer, gulpladebiler</t>
  </si>
  <si>
    <t>223004</t>
  </si>
  <si>
    <t>Rep. og vedligeholdelse, køretøjer, hvidpladeblier</t>
  </si>
  <si>
    <t>223005</t>
  </si>
  <si>
    <t>Rep. og vedligeholdelse - Bygninger (Eget)</t>
  </si>
  <si>
    <t>223020</t>
  </si>
  <si>
    <t>Rep. og vedligeholdelse, øvrige</t>
  </si>
  <si>
    <t>223030</t>
  </si>
  <si>
    <t>Forsikringersager</t>
  </si>
  <si>
    <t>223201</t>
  </si>
  <si>
    <t>Arbejdsgivers am-bidrag, ejendomsskat og afgifter</t>
  </si>
  <si>
    <t>223202</t>
  </si>
  <si>
    <t>Registreringsafgift</t>
  </si>
  <si>
    <t>223601</t>
  </si>
  <si>
    <t>Rejse og befordring, elever</t>
  </si>
  <si>
    <t>223801</t>
  </si>
  <si>
    <t>Arbejdsgivernes uddannelsesbidrag (AUB)</t>
  </si>
  <si>
    <t>223810</t>
  </si>
  <si>
    <t>Samlet Betalinger (AER)</t>
  </si>
  <si>
    <t>224001</t>
  </si>
  <si>
    <t>Øvrige driftsaktiviteter</t>
  </si>
  <si>
    <t>224005</t>
  </si>
  <si>
    <t>Personalevælfærd</t>
  </si>
  <si>
    <t>224010</t>
  </si>
  <si>
    <t>Personalesager - HR-omkostninger</t>
  </si>
  <si>
    <t>225501</t>
  </si>
  <si>
    <t>Køb af energi - el</t>
  </si>
  <si>
    <t>225502</t>
  </si>
  <si>
    <t>Køb af energi - varme</t>
  </si>
  <si>
    <t>225503</t>
  </si>
  <si>
    <t>Køb af energi - vand</t>
  </si>
  <si>
    <t>225504</t>
  </si>
  <si>
    <t>Brændstof, hvidpladebiler</t>
  </si>
  <si>
    <t>225505</t>
  </si>
  <si>
    <t>Brændstof, gulpladebiler</t>
  </si>
  <si>
    <t>225507</t>
  </si>
  <si>
    <t>Refusion energiafgifter</t>
  </si>
  <si>
    <t>226001</t>
  </si>
  <si>
    <t>Køb af IT-varer til forbrug</t>
  </si>
  <si>
    <t>226501</t>
  </si>
  <si>
    <t>Køb af IT-tjenesteydelser</t>
  </si>
  <si>
    <t>227001</t>
  </si>
  <si>
    <t>Revision</t>
  </si>
  <si>
    <t>227002</t>
  </si>
  <si>
    <t>Advokat</t>
  </si>
  <si>
    <t>227003</t>
  </si>
  <si>
    <t>Konsulentbistand</t>
  </si>
  <si>
    <t>227004</t>
  </si>
  <si>
    <t>Annoncering og reklame</t>
  </si>
  <si>
    <t>227005</t>
  </si>
  <si>
    <t>Telefonabonnementer</t>
  </si>
  <si>
    <t>227006</t>
  </si>
  <si>
    <t>Kurser</t>
  </si>
  <si>
    <t>227007</t>
  </si>
  <si>
    <t>Fragt og gebyrer</t>
  </si>
  <si>
    <t>227008</t>
  </si>
  <si>
    <t>Rengøring og renovation</t>
  </si>
  <si>
    <t>227010</t>
  </si>
  <si>
    <t>Abonnementer og kontingenter m/moms</t>
  </si>
  <si>
    <t>227011</t>
  </si>
  <si>
    <t>Abonnementer og kontingenter u/moms</t>
  </si>
  <si>
    <t>227012</t>
  </si>
  <si>
    <t>Censorer</t>
  </si>
  <si>
    <t>227015</t>
  </si>
  <si>
    <t>Alarm / Nøglesystemer</t>
  </si>
  <si>
    <t>227020</t>
  </si>
  <si>
    <t>Køb af tj.ydelser i øvrigt</t>
  </si>
  <si>
    <t>227050</t>
  </si>
  <si>
    <t>Porto</t>
  </si>
  <si>
    <t>228001</t>
  </si>
  <si>
    <t>Undervisningsmateriale</t>
  </si>
  <si>
    <t>228002</t>
  </si>
  <si>
    <t>Arbejdstøj</t>
  </si>
  <si>
    <t>228003</t>
  </si>
  <si>
    <t>Kontorartikler</t>
  </si>
  <si>
    <t>228004</t>
  </si>
  <si>
    <t>Småanskaffelser</t>
  </si>
  <si>
    <t>228005</t>
  </si>
  <si>
    <t>Elevaktiviteter</t>
  </si>
  <si>
    <t>228006</t>
  </si>
  <si>
    <t>Varekøb til værkstedsdrift</t>
  </si>
  <si>
    <t>228007</t>
  </si>
  <si>
    <t>Køb EGU-elever til viderefakt.</t>
  </si>
  <si>
    <t>228008</t>
  </si>
  <si>
    <t>Varekøb til direkte videresalg uden forarbejdning</t>
  </si>
  <si>
    <t>228011</t>
  </si>
  <si>
    <t>Betalende Spiseordning Varekøb</t>
  </si>
  <si>
    <t>228020</t>
  </si>
  <si>
    <t>Øvrige omkostninger til værkstedsdrift</t>
  </si>
  <si>
    <t>229001</t>
  </si>
  <si>
    <t>Tab ved afhændelse af anlæg</t>
  </si>
  <si>
    <t>229101</t>
  </si>
  <si>
    <t>Kassedifferencer mv.</t>
  </si>
  <si>
    <t>229401</t>
  </si>
  <si>
    <t>Forventet tab på debitorer</t>
  </si>
  <si>
    <t>229501</t>
  </si>
  <si>
    <t>Tab på debitorer mv.</t>
  </si>
  <si>
    <t>229999</t>
  </si>
  <si>
    <t>Andre ord. drifts.omk I alt</t>
  </si>
  <si>
    <t>250000</t>
  </si>
  <si>
    <t>Finansielle indtægter</t>
  </si>
  <si>
    <t>252001</t>
  </si>
  <si>
    <t>Renteindtægter SKB</t>
  </si>
  <si>
    <t>254001</t>
  </si>
  <si>
    <t>Renteindtægter øvrige pengeinst.</t>
  </si>
  <si>
    <t>256001</t>
  </si>
  <si>
    <t>Værdipapirer</t>
  </si>
  <si>
    <t>257001</t>
  </si>
  <si>
    <t>Udbytter</t>
  </si>
  <si>
    <t>258001</t>
  </si>
  <si>
    <t>Morarenteindtægter</t>
  </si>
  <si>
    <t>259001</t>
  </si>
  <si>
    <t>Øvrige renteindtægter</t>
  </si>
  <si>
    <t>259201</t>
  </si>
  <si>
    <t>Værdiforskelle, solgte værdipapirer</t>
  </si>
  <si>
    <t>259401</t>
  </si>
  <si>
    <t>Værdiforskydning, optagne lån/gæld</t>
  </si>
  <si>
    <t>259999</t>
  </si>
  <si>
    <t>Finansielle indtægter i alt</t>
  </si>
  <si>
    <t>260000</t>
  </si>
  <si>
    <t>264001</t>
  </si>
  <si>
    <t>Renteudgifter SKB</t>
  </si>
  <si>
    <t>265001</t>
  </si>
  <si>
    <t>Prioritetsrenter og bidrag</t>
  </si>
  <si>
    <t>268001</t>
  </si>
  <si>
    <t>Morarenteudgifter til andre offentlige myndigheder</t>
  </si>
  <si>
    <t>268101</t>
  </si>
  <si>
    <t>Morarenter og gebyrer til leverandører</t>
  </si>
  <si>
    <t>269001</t>
  </si>
  <si>
    <t>Øvrige renteudgifter</t>
  </si>
  <si>
    <t>269201</t>
  </si>
  <si>
    <t>Tab/gevinst ved køb af værdipapirer</t>
  </si>
  <si>
    <t>269202</t>
  </si>
  <si>
    <t>Urealiseret kurstab</t>
  </si>
  <si>
    <t>269999</t>
  </si>
  <si>
    <t>Finansielle omkostninger i alt</t>
  </si>
  <si>
    <t>280000</t>
  </si>
  <si>
    <t>Ekstraordinære indtægter</t>
  </si>
  <si>
    <t>280501</t>
  </si>
  <si>
    <t>289899</t>
  </si>
  <si>
    <t>Ekstraordinære indtægter i alt</t>
  </si>
  <si>
    <t>290000</t>
  </si>
  <si>
    <t>Ekstraordinære omkostninger</t>
  </si>
  <si>
    <t>290501</t>
  </si>
  <si>
    <t>299799</t>
  </si>
  <si>
    <t>Ekstraordinære omkostninger i alt</t>
  </si>
  <si>
    <t>299999</t>
  </si>
  <si>
    <t>Driftsresultat (før overførelser)</t>
  </si>
  <si>
    <t>300000</t>
  </si>
  <si>
    <t>Overførsler mv.</t>
  </si>
  <si>
    <t>306001</t>
  </si>
  <si>
    <t>Told- og forbrugsafgifter</t>
  </si>
  <si>
    <t>308001</t>
  </si>
  <si>
    <t>Andre skatter og afgifter</t>
  </si>
  <si>
    <t>442401</t>
  </si>
  <si>
    <t>Fratrædelsesordninger, efterløn mv.</t>
  </si>
  <si>
    <t>469999</t>
  </si>
  <si>
    <t>Overførsler mv. i alt</t>
  </si>
  <si>
    <t>200000</t>
  </si>
  <si>
    <t>Af- og nedskrivning</t>
  </si>
  <si>
    <t>201001</t>
  </si>
  <si>
    <t>Neutralisering af donationsafskrivning</t>
  </si>
  <si>
    <t>203001</t>
  </si>
  <si>
    <t>Afskrivning alle aktiver</t>
  </si>
  <si>
    <t>205001</t>
  </si>
  <si>
    <t>Nedskrivning alle aktiver</t>
  </si>
  <si>
    <t>209899</t>
  </si>
  <si>
    <t>Af- og nedskrivning i alt</t>
  </si>
  <si>
    <t>499999</t>
  </si>
  <si>
    <t>2022</t>
  </si>
  <si>
    <t>LAKS</t>
  </si>
  <si>
    <t>ASSENS</t>
  </si>
  <si>
    <t>NYBORG</t>
  </si>
  <si>
    <t>NORDFYN</t>
  </si>
  <si>
    <t>KERTEMINDE</t>
  </si>
  <si>
    <t>SÆRTILSKUD</t>
  </si>
  <si>
    <t xml:space="preserve">BUDGET </t>
  </si>
  <si>
    <t>Ultimo 2021</t>
  </si>
  <si>
    <t>Primo</t>
  </si>
  <si>
    <t>Momsforskydning UVM</t>
  </si>
  <si>
    <t>Lån</t>
  </si>
  <si>
    <t>Saldo</t>
  </si>
  <si>
    <t>Regnskab 1/1 - 31/12 2022 (før afskrivninger)</t>
  </si>
  <si>
    <t>Betaling af indefrosne feriepenge</t>
  </si>
  <si>
    <t>Investeringer</t>
  </si>
  <si>
    <t>Ultimo 2022</t>
  </si>
  <si>
    <t>Provenu Nørre Voldgade</t>
  </si>
  <si>
    <t>Køb af Lindholm Havnevej</t>
  </si>
  <si>
    <t>Likviditets udvikling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</si>
</sst>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4" fontId="2" fillId="0" borderId="0" xfId="2" applyNumberFormat="1" applyFont="1" applyFill="1" applyAlignment="1">
      <alignment horizontal="right"/>
    </xf>
    <xf numFmtId="0" fontId="2" fillId="0" borderId="0" xfId="2"/>
    <xf numFmtId="49" fontId="2" fillId="0" borderId="0" xfId="2" applyNumberFormat="1"/>
    <xf numFmtId="49" fontId="3" fillId="0" borderId="0" xfId="2" applyNumberFormat="1" applyFont="1"/>
    <xf numFmtId="49" fontId="3" fillId="0" borderId="1" xfId="2" applyNumberFormat="1" applyFont="1" applyBorder="1"/>
    <xf numFmtId="0" fontId="2" fillId="0" borderId="0" xfId="2"/>
    <xf numFmtId="49" fontId="2" fillId="0" borderId="0" xfId="2" applyNumberFormat="1"/>
    <xf numFmtId="49" fontId="3" fillId="0" borderId="0" xfId="2" applyNumberFormat="1" applyFont="1"/>
    <xf numFmtId="49" fontId="3" fillId="0" borderId="1" xfId="2" applyNumberFormat="1" applyFont="1" applyBorder="1"/>
    <xf numFmtId="49" fontId="4" fillId="0" borderId="0" xfId="2" applyNumberFormat="1" applyFont="1"/>
    <xf numFmtId="49" fontId="2" fillId="0" borderId="0" xfId="2" applyNumberFormat="1"/>
    <xf numFmtId="0" fontId="2" fillId="0" borderId="0" xfId="2" applyFont="1" applyFill="1"/>
    <xf numFmtId="0" fontId="2" fillId="0" borderId="0" xfId="0" applyFont="1" applyFill="1"/>
    <xf numFmtId="49" fontId="2" fillId="0" borderId="0" xfId="2" applyNumberFormat="1" applyFont="1" applyFill="1"/>
    <xf numFmtId="4" fontId="3" fillId="0" borderId="0" xfId="2" applyNumberFormat="1" applyFont="1" applyFill="1" applyAlignment="1">
      <alignment horizontal="right"/>
    </xf>
    <xf numFmtId="4" fontId="3" fillId="0" borderId="1" xfId="2" applyNumberFormat="1" applyFont="1" applyFill="1" applyBorder="1" applyAlignment="1">
      <alignment horizontal="right"/>
    </xf>
    <xf numFmtId="4" fontId="2" fillId="0" borderId="0" xfId="4" applyNumberFormat="1" applyFont="1" applyFill="1"/>
    <xf numFmtId="0" fontId="2" fillId="0" borderId="0" xfId="4" applyFont="1" applyFill="1"/>
    <xf numFmtId="43" fontId="3" fillId="0" borderId="0" xfId="1" applyFont="1"/>
    <xf numFmtId="43" fontId="3" fillId="0" borderId="0" xfId="1" applyFont="1" applyAlignment="1">
      <alignment horizontal="right"/>
    </xf>
    <xf numFmtId="43" fontId="2" fillId="0" borderId="0" xfId="3" applyFont="1"/>
    <xf numFmtId="0" fontId="3" fillId="0" borderId="0" xfId="0" applyFont="1"/>
    <xf numFmtId="43" fontId="0" fillId="0" borderId="0" xfId="1" applyFont="1"/>
    <xf numFmtId="0" fontId="5" fillId="0" borderId="0" xfId="0" applyFont="1" applyAlignment="1">
      <alignment horizontal="center"/>
    </xf>
  </cellXfs>
  <cellStyles count="7">
    <cellStyle name="Komma" xfId="1" builtinId="3"/>
    <cellStyle name="Komma 2" xfId="3" xr:uid="{9DBECC21-ECD2-40F5-9EE9-6304CE457268}"/>
    <cellStyle name="Komma 3" xfId="6" xr:uid="{151DCA6D-2107-42B2-9CE9-7C43733E27D5}"/>
    <cellStyle name="Normal" xfId="0" builtinId="0"/>
    <cellStyle name="Normal 2" xfId="4" xr:uid="{304E9A90-CA61-4360-913C-E291ABB4280D}"/>
    <cellStyle name="Normal 3" xfId="2" xr:uid="{7D1C4D63-E6AC-41E5-8199-A70167B0C79A}"/>
    <cellStyle name="Normal 4" xfId="5" xr:uid="{91D742A5-77AB-4744-8DDB-3C544E5C1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Likviditets udvikling 2022</a:t>
            </a:r>
          </a:p>
        </c:rich>
      </c:tx>
      <c:layout>
        <c:manualLayout>
          <c:xMode val="edge"/>
          <c:yMode val="edge"/>
          <c:x val="0.386574217426681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096178870282956"/>
          <c:y val="0.16708333333333336"/>
          <c:w val="0.77137707786526688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'LIKVIDITETSUDVIKLING 2022'!$H$4:$I$4</c:f>
              <c:strCache>
                <c:ptCount val="2"/>
                <c:pt idx="0">
                  <c:v> Ultimo 2021 </c:v>
                </c:pt>
                <c:pt idx="1">
                  <c:v> Ultimo 2022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'LIKVIDITETSUDVIKLING 2022'!$H$4:$I$4</c:f>
              <c:strCache>
                <c:ptCount val="2"/>
                <c:pt idx="0">
                  <c:v> Ultimo 2021 </c:v>
                </c:pt>
                <c:pt idx="1">
                  <c:v> Ultimo 2022 </c:v>
                </c:pt>
              </c:strCache>
            </c:strRef>
          </c:cat>
          <c:val>
            <c:numRef>
              <c:f>'LIKVIDITETSUDVIKLING 2022'!$H$13:$I$13</c:f>
              <c:numCache>
                <c:formatCode>_(* #,##0.00_);_(* \(#,##0.00\);_(* "-"??_);_(@_)</c:formatCode>
                <c:ptCount val="2"/>
                <c:pt idx="0">
                  <c:v>54577234.310000002</c:v>
                </c:pt>
                <c:pt idx="1">
                  <c:v>33763309.18900001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C-47B5-AB98-5C5AA92C3B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6465568"/>
        <c:axId val="1348374304"/>
      </c:lineChart>
      <c:catAx>
        <c:axId val="108646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8374304"/>
        <c:crosses val="autoZero"/>
        <c:auto val="1"/>
        <c:lblAlgn val="ctr"/>
        <c:lblOffset val="100"/>
        <c:noMultiLvlLbl val="0"/>
      </c:catAx>
      <c:valAx>
        <c:axId val="13483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8646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18</xdr:row>
      <xdr:rowOff>123825</xdr:rowOff>
    </xdr:from>
    <xdr:to>
      <xdr:col>10</xdr:col>
      <xdr:colOff>809625</xdr:colOff>
      <xdr:row>33</xdr:row>
      <xdr:rowOff>9525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4F0E0C-507F-4FC5-9AC4-922D50D72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8609-32A5-4A90-A7DF-82E288B121CE}">
  <dimension ref="C1:N13"/>
  <sheetViews>
    <sheetView tabSelected="1" workbookViewId="0">
      <selection activeCell="G11" sqref="G11"/>
    </sheetView>
  </sheetViews>
  <sheetFormatPr defaultRowHeight="15" x14ac:dyDescent="0.25"/>
  <cols>
    <col min="2" max="2" width="19.5703125" bestFit="1" customWidth="1"/>
    <col min="3" max="3" width="19" bestFit="1" customWidth="1"/>
    <col min="4" max="4" width="14.28515625" bestFit="1" customWidth="1"/>
    <col min="5" max="5" width="10.5703125" customWidth="1"/>
    <col min="6" max="6" width="7.5703125" hidden="1" customWidth="1"/>
    <col min="7" max="7" width="40.85546875" customWidth="1"/>
    <col min="8" max="8" width="22.85546875" customWidth="1"/>
    <col min="9" max="9" width="15" bestFit="1" customWidth="1"/>
    <col min="10" max="14" width="14.28515625" bestFit="1" customWidth="1"/>
  </cols>
  <sheetData>
    <row r="1" spans="3:14" ht="36" x14ac:dyDescent="0.55000000000000004">
      <c r="C1" s="25" t="s">
        <v>426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4" spans="3:14" x14ac:dyDescent="0.25">
      <c r="H4" s="20" t="s">
        <v>415</v>
      </c>
      <c r="I4" s="21" t="s">
        <v>423</v>
      </c>
    </row>
    <row r="5" spans="3:14" x14ac:dyDescent="0.25">
      <c r="G5" s="23" t="s">
        <v>416</v>
      </c>
      <c r="H5" s="24"/>
      <c r="I5" s="24">
        <v>54577234.310000002</v>
      </c>
    </row>
    <row r="6" spans="3:14" ht="18.75" customHeight="1" x14ac:dyDescent="0.25">
      <c r="G6" s="23" t="s">
        <v>420</v>
      </c>
      <c r="H6" s="24"/>
      <c r="I6" s="24">
        <f>'BUDGET 2022'!C30</f>
        <v>686822.23900000751</v>
      </c>
    </row>
    <row r="7" spans="3:14" x14ac:dyDescent="0.25">
      <c r="G7" s="23" t="s">
        <v>417</v>
      </c>
      <c r="H7" s="24"/>
      <c r="I7" s="24">
        <v>-500000</v>
      </c>
    </row>
    <row r="8" spans="3:14" x14ac:dyDescent="0.25">
      <c r="G8" s="23" t="s">
        <v>418</v>
      </c>
      <c r="H8" s="24"/>
      <c r="I8" s="24">
        <f>-3700-20718-37574</f>
        <v>-61992</v>
      </c>
    </row>
    <row r="9" spans="3:14" x14ac:dyDescent="0.25">
      <c r="G9" s="23" t="s">
        <v>422</v>
      </c>
      <c r="H9" s="24"/>
      <c r="I9" s="24">
        <v>-11555321.800000001</v>
      </c>
    </row>
    <row r="10" spans="3:14" x14ac:dyDescent="0.25">
      <c r="G10" s="23" t="s">
        <v>425</v>
      </c>
      <c r="H10" s="24"/>
      <c r="I10" s="24">
        <f>-6750000+170000</f>
        <v>-6580000</v>
      </c>
    </row>
    <row r="11" spans="3:14" x14ac:dyDescent="0.25">
      <c r="G11" s="23" t="s">
        <v>421</v>
      </c>
      <c r="H11" s="24"/>
      <c r="I11" s="24">
        <v>-7303433.5599999996</v>
      </c>
    </row>
    <row r="12" spans="3:14" x14ac:dyDescent="0.25">
      <c r="G12" s="23" t="s">
        <v>424</v>
      </c>
      <c r="H12" s="24"/>
      <c r="I12" s="24">
        <v>4500000</v>
      </c>
    </row>
    <row r="13" spans="3:14" x14ac:dyDescent="0.25">
      <c r="G13" s="23" t="s">
        <v>419</v>
      </c>
      <c r="H13" s="22">
        <v>54577234.310000002</v>
      </c>
      <c r="I13" s="24">
        <f>SUM(I5:I12)</f>
        <v>33763309.18900001</v>
      </c>
    </row>
  </sheetData>
  <sheetProtection algorithmName="SHA-512" hashValue="0IqWQcR263Mi03/BR/Wv127akA3+q+S5I1sAoeLREaThEBdCetAKq9t4hwJVFDKNb+CVdrztXTiTP7QWYPbv4w==" saltValue="iDNJQ4SM0VYzuzne0UzBLg==" spinCount="100000" sheet="1" objects="1" scenarios="1"/>
  <mergeCells count="1">
    <mergeCell ref="C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E830-FF05-4AEE-AE03-E50CEC6875F6}">
  <dimension ref="A1:L245"/>
  <sheetViews>
    <sheetView topLeftCell="A8" zoomScale="80" zoomScaleNormal="80" workbookViewId="0">
      <selection activeCell="K49" sqref="K49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6.85546875" style="14" customWidth="1"/>
    <col min="4" max="4" width="13.5703125" style="14" bestFit="1" customWidth="1"/>
    <col min="5" max="5" width="16.5703125" style="14" customWidth="1"/>
    <col min="6" max="11" width="13.5703125" style="14" bestFit="1" customWidth="1"/>
  </cols>
  <sheetData>
    <row r="1" spans="1:12" x14ac:dyDescent="0.25">
      <c r="A1" s="12" t="s">
        <v>414</v>
      </c>
      <c r="B1" s="12" t="s">
        <v>407</v>
      </c>
      <c r="C1" s="13"/>
      <c r="D1" s="13"/>
      <c r="F1" s="13"/>
      <c r="G1" s="13"/>
      <c r="H1" s="13"/>
      <c r="I1" s="13"/>
      <c r="J1" s="13"/>
      <c r="K1" s="13"/>
    </row>
    <row r="2" spans="1:12" x14ac:dyDescent="0.25">
      <c r="A2" s="4"/>
      <c r="B2" s="4"/>
      <c r="C2" s="13"/>
      <c r="D2" s="13"/>
      <c r="F2" s="13"/>
      <c r="G2" s="13"/>
      <c r="H2" s="13"/>
      <c r="I2" s="13"/>
      <c r="J2" s="13"/>
      <c r="K2" s="13"/>
    </row>
    <row r="3" spans="1:12" x14ac:dyDescent="0.25">
      <c r="A3" s="4"/>
      <c r="B3" s="4"/>
      <c r="C3" s="13"/>
      <c r="D3" s="13"/>
      <c r="F3" s="13"/>
      <c r="G3" s="13"/>
      <c r="H3" s="13"/>
      <c r="I3" s="13"/>
      <c r="J3" s="13"/>
      <c r="K3" s="13"/>
    </row>
    <row r="4" spans="1:12" x14ac:dyDescent="0.25">
      <c r="E4" s="13"/>
    </row>
    <row r="5" spans="1:12" x14ac:dyDescent="0.25">
      <c r="A5" s="4" t="s">
        <v>5</v>
      </c>
      <c r="B5" s="4" t="s">
        <v>6</v>
      </c>
      <c r="E5" s="13"/>
      <c r="F5" s="13"/>
      <c r="G5" s="13"/>
      <c r="H5" s="13"/>
      <c r="I5" s="13"/>
      <c r="J5" s="13"/>
      <c r="K5" s="13"/>
    </row>
    <row r="6" spans="1:12" x14ac:dyDescent="0.25">
      <c r="D6" s="13"/>
      <c r="E6" s="13"/>
    </row>
    <row r="7" spans="1:12" x14ac:dyDescent="0.25">
      <c r="A7" s="3"/>
      <c r="B7" s="3"/>
      <c r="C7" s="2" t="s">
        <v>0</v>
      </c>
      <c r="D7" s="2" t="s">
        <v>2</v>
      </c>
      <c r="E7" s="2" t="s">
        <v>3</v>
      </c>
      <c r="F7" s="2" t="s">
        <v>408</v>
      </c>
      <c r="G7" s="2" t="s">
        <v>409</v>
      </c>
      <c r="H7" s="2" t="s">
        <v>410</v>
      </c>
      <c r="I7" s="2" t="s">
        <v>411</v>
      </c>
      <c r="J7" s="2" t="s">
        <v>412</v>
      </c>
      <c r="K7" s="2" t="s">
        <v>413</v>
      </c>
    </row>
    <row r="8" spans="1:12" x14ac:dyDescent="0.25">
      <c r="A8" s="5" t="s">
        <v>7</v>
      </c>
      <c r="B8" s="5" t="s">
        <v>8</v>
      </c>
      <c r="C8" s="16"/>
      <c r="D8" s="16"/>
      <c r="E8" s="16"/>
      <c r="F8" s="16"/>
      <c r="G8" s="16"/>
      <c r="H8" s="16"/>
      <c r="I8" s="16"/>
      <c r="J8" s="16"/>
      <c r="K8" s="16"/>
    </row>
    <row r="9" spans="1:12" x14ac:dyDescent="0.25">
      <c r="A9" s="4" t="s">
        <v>7</v>
      </c>
      <c r="B9" s="4" t="s">
        <v>7</v>
      </c>
      <c r="C9" s="13"/>
      <c r="D9" s="13"/>
      <c r="E9" s="13"/>
      <c r="F9" s="13"/>
      <c r="G9" s="13"/>
      <c r="H9" s="13"/>
      <c r="I9" s="13"/>
      <c r="J9" s="13"/>
      <c r="K9" s="13"/>
    </row>
    <row r="10" spans="1:12" x14ac:dyDescent="0.25">
      <c r="A10" s="4" t="s">
        <v>9</v>
      </c>
      <c r="B10" s="4" t="s">
        <v>10</v>
      </c>
      <c r="C10" s="2">
        <f t="shared" ref="C10:K10" si="0">C45</f>
        <v>68770616</v>
      </c>
      <c r="D10" s="2">
        <f t="shared" si="0"/>
        <v>2226850</v>
      </c>
      <c r="E10" s="2">
        <f t="shared" si="0"/>
        <v>20424814</v>
      </c>
      <c r="F10" s="2">
        <f t="shared" si="0"/>
        <v>186934</v>
      </c>
      <c r="G10" s="2">
        <f t="shared" si="0"/>
        <v>8174884</v>
      </c>
      <c r="H10" s="2">
        <f t="shared" si="0"/>
        <v>7454255</v>
      </c>
      <c r="I10" s="2">
        <f t="shared" si="0"/>
        <v>10469955</v>
      </c>
      <c r="J10" s="2">
        <f t="shared" si="0"/>
        <v>9480839</v>
      </c>
      <c r="K10" s="2">
        <f t="shared" si="0"/>
        <v>10352085</v>
      </c>
      <c r="L10" s="1"/>
    </row>
    <row r="11" spans="1:12" x14ac:dyDescent="0.25">
      <c r="A11" s="4" t="s">
        <v>11</v>
      </c>
      <c r="B11" s="4" t="s">
        <v>12</v>
      </c>
      <c r="C11" s="2">
        <f t="shared" ref="C11:K11" si="1">C58</f>
        <v>4540912.0599999996</v>
      </c>
      <c r="D11" s="2">
        <f t="shared" si="1"/>
        <v>0</v>
      </c>
      <c r="E11" s="2">
        <f t="shared" si="1"/>
        <v>486000</v>
      </c>
      <c r="F11" s="2">
        <f t="shared" si="1"/>
        <v>3260500</v>
      </c>
      <c r="G11" s="2">
        <f t="shared" si="1"/>
        <v>468162</v>
      </c>
      <c r="H11" s="2">
        <f t="shared" si="1"/>
        <v>50450</v>
      </c>
      <c r="I11" s="2">
        <f t="shared" si="1"/>
        <v>158917.5</v>
      </c>
      <c r="J11" s="2">
        <f t="shared" si="1"/>
        <v>116882.56</v>
      </c>
      <c r="K11" s="2">
        <f t="shared" si="1"/>
        <v>0</v>
      </c>
      <c r="L11" s="1"/>
    </row>
    <row r="12" spans="1:12" x14ac:dyDescent="0.25">
      <c r="A12" s="4" t="s">
        <v>13</v>
      </c>
      <c r="B12" s="4" t="s">
        <v>14</v>
      </c>
      <c r="C12" s="2">
        <f t="shared" ref="C12:K12" si="2">C62</f>
        <v>574516.53</v>
      </c>
      <c r="D12" s="2">
        <f t="shared" si="2"/>
        <v>0</v>
      </c>
      <c r="E12" s="2">
        <f t="shared" si="2"/>
        <v>473616.53</v>
      </c>
      <c r="F12" s="2">
        <f t="shared" si="2"/>
        <v>0</v>
      </c>
      <c r="G12" s="2">
        <f t="shared" si="2"/>
        <v>0</v>
      </c>
      <c r="H12" s="2">
        <f t="shared" si="2"/>
        <v>40360</v>
      </c>
      <c r="I12" s="2">
        <f t="shared" si="2"/>
        <v>0</v>
      </c>
      <c r="J12" s="2">
        <f t="shared" si="2"/>
        <v>60540</v>
      </c>
      <c r="K12" s="2">
        <f t="shared" si="2"/>
        <v>0</v>
      </c>
      <c r="L12" s="1"/>
    </row>
    <row r="13" spans="1:12" x14ac:dyDescent="0.25">
      <c r="A13" s="5" t="s">
        <v>15</v>
      </c>
      <c r="B13" s="5" t="s">
        <v>16</v>
      </c>
      <c r="C13" s="16">
        <f t="shared" ref="C13:K13" si="3">C12+C11+C10</f>
        <v>73886044.590000004</v>
      </c>
      <c r="D13" s="16">
        <f t="shared" si="3"/>
        <v>2226850</v>
      </c>
      <c r="E13" s="16">
        <f t="shared" si="3"/>
        <v>21384430.530000001</v>
      </c>
      <c r="F13" s="16">
        <f t="shared" si="3"/>
        <v>3447434</v>
      </c>
      <c r="G13" s="16">
        <f t="shared" si="3"/>
        <v>8643046</v>
      </c>
      <c r="H13" s="16">
        <f t="shared" si="3"/>
        <v>7545065</v>
      </c>
      <c r="I13" s="16">
        <f t="shared" si="3"/>
        <v>10628872.5</v>
      </c>
      <c r="J13" s="16">
        <f t="shared" si="3"/>
        <v>9658261.5600000005</v>
      </c>
      <c r="K13" s="16">
        <f t="shared" si="3"/>
        <v>10352085</v>
      </c>
      <c r="L13" s="1"/>
    </row>
    <row r="14" spans="1:12" x14ac:dyDescent="0.25">
      <c r="A14" s="4" t="s">
        <v>7</v>
      </c>
      <c r="B14" s="4" t="s">
        <v>7</v>
      </c>
      <c r="C14" s="13"/>
      <c r="D14" s="13"/>
      <c r="E14" s="13"/>
      <c r="F14" s="13"/>
      <c r="G14" s="13"/>
      <c r="H14" s="13"/>
      <c r="I14" s="13"/>
      <c r="J14" s="13"/>
      <c r="K14" s="13"/>
      <c r="L14" s="1"/>
    </row>
    <row r="15" spans="1:12" x14ac:dyDescent="0.25">
      <c r="A15" s="5" t="s">
        <v>7</v>
      </c>
      <c r="B15" s="5" t="s">
        <v>17</v>
      </c>
      <c r="C15" s="16"/>
      <c r="D15" s="16"/>
      <c r="E15" s="16"/>
      <c r="F15" s="16"/>
      <c r="G15" s="16"/>
      <c r="H15" s="16"/>
      <c r="I15" s="16"/>
      <c r="J15" s="16"/>
      <c r="K15" s="16"/>
      <c r="L15" s="1"/>
    </row>
    <row r="16" spans="1:12" x14ac:dyDescent="0.25">
      <c r="A16" s="4" t="s">
        <v>18</v>
      </c>
      <c r="B16" s="4" t="s">
        <v>19</v>
      </c>
      <c r="C16" s="2">
        <f t="shared" ref="C16:K16" si="4">C69</f>
        <v>0</v>
      </c>
      <c r="D16" s="2">
        <f t="shared" si="4"/>
        <v>0</v>
      </c>
      <c r="E16" s="2">
        <f t="shared" si="4"/>
        <v>0</v>
      </c>
      <c r="F16" s="2">
        <f t="shared" si="4"/>
        <v>0</v>
      </c>
      <c r="G16" s="2">
        <f t="shared" si="4"/>
        <v>0</v>
      </c>
      <c r="H16" s="2">
        <f t="shared" si="4"/>
        <v>0</v>
      </c>
      <c r="I16" s="2">
        <f t="shared" si="4"/>
        <v>0</v>
      </c>
      <c r="J16" s="2">
        <f t="shared" si="4"/>
        <v>0</v>
      </c>
      <c r="K16" s="2">
        <f t="shared" si="4"/>
        <v>0</v>
      </c>
      <c r="L16" s="1"/>
    </row>
    <row r="17" spans="1:12" x14ac:dyDescent="0.25">
      <c r="A17" s="4" t="s">
        <v>20</v>
      </c>
      <c r="B17" s="4" t="s">
        <v>21</v>
      </c>
      <c r="C17" s="2">
        <f t="shared" ref="C17:K17" si="5">C76</f>
        <v>-150111.81</v>
      </c>
      <c r="D17" s="2">
        <f t="shared" si="5"/>
        <v>0</v>
      </c>
      <c r="E17" s="2">
        <f t="shared" si="5"/>
        <v>-7000</v>
      </c>
      <c r="F17" s="2">
        <f t="shared" si="5"/>
        <v>-5545.87</v>
      </c>
      <c r="G17" s="2">
        <f t="shared" si="5"/>
        <v>-36000</v>
      </c>
      <c r="H17" s="2">
        <f t="shared" si="5"/>
        <v>-13117</v>
      </c>
      <c r="I17" s="2">
        <f t="shared" si="5"/>
        <v>0</v>
      </c>
      <c r="J17" s="2">
        <f t="shared" si="5"/>
        <v>-88448.94</v>
      </c>
      <c r="K17" s="2">
        <f t="shared" si="5"/>
        <v>0</v>
      </c>
      <c r="L17" s="1"/>
    </row>
    <row r="18" spans="1:12" x14ac:dyDescent="0.25">
      <c r="A18" s="4" t="s">
        <v>22</v>
      </c>
      <c r="B18" s="4" t="s">
        <v>23</v>
      </c>
      <c r="C18" s="2">
        <f t="shared" ref="C18:K18" si="6">C81</f>
        <v>0</v>
      </c>
      <c r="D18" s="2">
        <f t="shared" si="6"/>
        <v>0</v>
      </c>
      <c r="E18" s="2">
        <f t="shared" si="6"/>
        <v>0</v>
      </c>
      <c r="F18" s="2">
        <f t="shared" si="6"/>
        <v>0</v>
      </c>
      <c r="G18" s="2">
        <f t="shared" si="6"/>
        <v>0</v>
      </c>
      <c r="H18" s="2">
        <f t="shared" si="6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  <c r="L18" s="1"/>
    </row>
    <row r="19" spans="1:12" x14ac:dyDescent="0.25">
      <c r="A19" s="4" t="s">
        <v>7</v>
      </c>
      <c r="B19" s="4" t="s">
        <v>7</v>
      </c>
      <c r="C19" s="13"/>
      <c r="D19" s="13"/>
      <c r="E19" s="13"/>
      <c r="F19" s="13"/>
      <c r="G19" s="13"/>
      <c r="H19" s="13"/>
      <c r="I19" s="13"/>
      <c r="J19" s="13"/>
      <c r="K19" s="13"/>
      <c r="L19" s="1"/>
    </row>
    <row r="20" spans="1:12" x14ac:dyDescent="0.25">
      <c r="A20" s="4" t="s">
        <v>24</v>
      </c>
      <c r="B20" s="4" t="s">
        <v>25</v>
      </c>
      <c r="C20" s="2">
        <f t="shared" ref="C20:K20" si="7">C122</f>
        <v>-47360744.410000004</v>
      </c>
      <c r="D20" s="2">
        <f t="shared" si="7"/>
        <v>-5811738.5900000017</v>
      </c>
      <c r="E20" s="2">
        <f t="shared" si="7"/>
        <v>-14823989.750000002</v>
      </c>
      <c r="F20" s="2">
        <f t="shared" si="7"/>
        <v>-2010730.8800000004</v>
      </c>
      <c r="G20" s="2">
        <f t="shared" si="7"/>
        <v>-5865498.46</v>
      </c>
      <c r="H20" s="2">
        <f t="shared" si="7"/>
        <v>-5834982.2600000007</v>
      </c>
      <c r="I20" s="2">
        <f t="shared" si="7"/>
        <v>-6456354.3800000008</v>
      </c>
      <c r="J20" s="2">
        <f t="shared" si="7"/>
        <v>-6557450.0900000008</v>
      </c>
      <c r="K20" s="2">
        <f t="shared" si="7"/>
        <v>0</v>
      </c>
      <c r="L20" s="1"/>
    </row>
    <row r="21" spans="1:12" x14ac:dyDescent="0.25">
      <c r="A21" s="5" t="s">
        <v>26</v>
      </c>
      <c r="B21" s="5" t="s">
        <v>27</v>
      </c>
      <c r="C21" s="16">
        <f t="shared" ref="C21:K21" si="8">C20+C18+C17+C16</f>
        <v>-47510856.220000006</v>
      </c>
      <c r="D21" s="16">
        <f t="shared" si="8"/>
        <v>-5811738.5900000017</v>
      </c>
      <c r="E21" s="16">
        <f t="shared" si="8"/>
        <v>-14830989.750000002</v>
      </c>
      <c r="F21" s="16">
        <f t="shared" si="8"/>
        <v>-2016276.7500000005</v>
      </c>
      <c r="G21" s="16">
        <f t="shared" si="8"/>
        <v>-5901498.46</v>
      </c>
      <c r="H21" s="16">
        <f t="shared" si="8"/>
        <v>-5848099.2600000007</v>
      </c>
      <c r="I21" s="16">
        <f t="shared" si="8"/>
        <v>-6456354.3800000008</v>
      </c>
      <c r="J21" s="16">
        <f t="shared" si="8"/>
        <v>-6645899.0300000012</v>
      </c>
      <c r="K21" s="16">
        <f t="shared" si="8"/>
        <v>0</v>
      </c>
      <c r="L21" s="1"/>
    </row>
    <row r="22" spans="1:12" x14ac:dyDescent="0.25">
      <c r="A22" s="4" t="s">
        <v>7</v>
      </c>
      <c r="B22" s="4" t="s">
        <v>7</v>
      </c>
      <c r="C22" s="13"/>
      <c r="D22" s="13"/>
      <c r="E22" s="13"/>
      <c r="F22" s="13"/>
      <c r="G22" s="13"/>
      <c r="H22" s="13"/>
      <c r="I22" s="13"/>
      <c r="J22" s="13"/>
      <c r="K22" s="13"/>
      <c r="L22" s="1"/>
    </row>
    <row r="23" spans="1:12" x14ac:dyDescent="0.25">
      <c r="A23" s="4" t="s">
        <v>28</v>
      </c>
      <c r="B23" s="4" t="s">
        <v>29</v>
      </c>
      <c r="C23" s="2">
        <f t="shared" ref="C23:K23" si="9">C135</f>
        <v>533570.23</v>
      </c>
      <c r="D23" s="2">
        <f t="shared" si="9"/>
        <v>42639.97</v>
      </c>
      <c r="E23" s="2">
        <f t="shared" si="9"/>
        <v>175000</v>
      </c>
      <c r="F23" s="2">
        <f t="shared" si="9"/>
        <v>0</v>
      </c>
      <c r="G23" s="2">
        <f t="shared" si="9"/>
        <v>116100</v>
      </c>
      <c r="H23" s="2">
        <f t="shared" si="9"/>
        <v>25225</v>
      </c>
      <c r="I23" s="2">
        <f t="shared" si="9"/>
        <v>68107.5</v>
      </c>
      <c r="J23" s="2">
        <f t="shared" si="9"/>
        <v>106497.76</v>
      </c>
      <c r="K23" s="2">
        <f t="shared" si="9"/>
        <v>0</v>
      </c>
      <c r="L23" s="1"/>
    </row>
    <row r="24" spans="1:12" x14ac:dyDescent="0.25">
      <c r="A24" s="4" t="s">
        <v>30</v>
      </c>
      <c r="B24" s="4" t="s">
        <v>31</v>
      </c>
      <c r="C24" s="2">
        <f t="shared" ref="C24:K24" si="10">C197</f>
        <v>-25994836.360999994</v>
      </c>
      <c r="D24" s="2">
        <f t="shared" si="10"/>
        <v>3553348.62</v>
      </c>
      <c r="E24" s="2">
        <f t="shared" si="10"/>
        <v>-10331244.184478</v>
      </c>
      <c r="F24" s="2">
        <f t="shared" si="10"/>
        <v>-1976337.1402050001</v>
      </c>
      <c r="G24" s="2">
        <f t="shared" si="10"/>
        <v>-3817721.6219119998</v>
      </c>
      <c r="H24" s="2">
        <f t="shared" si="10"/>
        <v>-3725053.4970780001</v>
      </c>
      <c r="I24" s="2">
        <f t="shared" si="10"/>
        <v>-4900201.2514439998</v>
      </c>
      <c r="J24" s="2">
        <f t="shared" si="10"/>
        <v>-4797627.2858830001</v>
      </c>
      <c r="K24" s="2">
        <f t="shared" si="10"/>
        <v>0</v>
      </c>
      <c r="L24" s="1"/>
    </row>
    <row r="25" spans="1:12" x14ac:dyDescent="0.25">
      <c r="A25" s="4" t="s">
        <v>32</v>
      </c>
      <c r="B25" s="4" t="s">
        <v>33</v>
      </c>
      <c r="C25" s="2">
        <f t="shared" ref="C25:K25" si="11">C208</f>
        <v>0</v>
      </c>
      <c r="D25" s="2">
        <f t="shared" si="11"/>
        <v>0</v>
      </c>
      <c r="E25" s="2">
        <f t="shared" si="11"/>
        <v>0</v>
      </c>
      <c r="F25" s="2">
        <f t="shared" si="11"/>
        <v>0</v>
      </c>
      <c r="G25" s="2">
        <f t="shared" si="11"/>
        <v>0</v>
      </c>
      <c r="H25" s="2">
        <f t="shared" si="11"/>
        <v>0</v>
      </c>
      <c r="I25" s="2">
        <f t="shared" si="11"/>
        <v>0</v>
      </c>
      <c r="J25" s="2">
        <f t="shared" si="11"/>
        <v>0</v>
      </c>
      <c r="K25" s="2">
        <f t="shared" si="11"/>
        <v>0</v>
      </c>
      <c r="L25" s="1"/>
    </row>
    <row r="26" spans="1:12" x14ac:dyDescent="0.25">
      <c r="A26" s="4" t="s">
        <v>34</v>
      </c>
      <c r="B26" s="4" t="s">
        <v>35</v>
      </c>
      <c r="C26" s="2">
        <f t="shared" ref="C26:K26" si="12">C218</f>
        <v>-227100</v>
      </c>
      <c r="D26" s="2">
        <f t="shared" si="12"/>
        <v>-11100</v>
      </c>
      <c r="E26" s="2">
        <f t="shared" si="12"/>
        <v>0</v>
      </c>
      <c r="F26" s="2">
        <f t="shared" si="12"/>
        <v>0</v>
      </c>
      <c r="G26" s="2">
        <f t="shared" si="12"/>
        <v>0</v>
      </c>
      <c r="H26" s="2">
        <f t="shared" si="12"/>
        <v>0</v>
      </c>
      <c r="I26" s="2">
        <f t="shared" si="12"/>
        <v>-26000</v>
      </c>
      <c r="J26" s="2">
        <f t="shared" si="12"/>
        <v>-190000</v>
      </c>
      <c r="K26" s="2">
        <f t="shared" si="12"/>
        <v>0</v>
      </c>
      <c r="L26" s="1"/>
    </row>
    <row r="27" spans="1:12" x14ac:dyDescent="0.25">
      <c r="A27" s="4" t="s">
        <v>36</v>
      </c>
      <c r="B27" s="4" t="s">
        <v>37</v>
      </c>
      <c r="C27" s="2">
        <f t="shared" ref="C27:K27" si="13">C222</f>
        <v>0</v>
      </c>
      <c r="D27" s="2">
        <f t="shared" si="13"/>
        <v>0</v>
      </c>
      <c r="E27" s="2">
        <f t="shared" si="13"/>
        <v>0</v>
      </c>
      <c r="F27" s="2">
        <f t="shared" si="13"/>
        <v>0</v>
      </c>
      <c r="G27" s="2">
        <f t="shared" si="13"/>
        <v>0</v>
      </c>
      <c r="H27" s="2">
        <f t="shared" si="13"/>
        <v>0</v>
      </c>
      <c r="I27" s="2">
        <f t="shared" si="13"/>
        <v>0</v>
      </c>
      <c r="J27" s="2">
        <f t="shared" si="13"/>
        <v>0</v>
      </c>
      <c r="K27" s="2">
        <f t="shared" si="13"/>
        <v>0</v>
      </c>
      <c r="L27" s="1"/>
    </row>
    <row r="28" spans="1:12" x14ac:dyDescent="0.25">
      <c r="A28" s="4" t="s">
        <v>38</v>
      </c>
      <c r="B28" s="4" t="s">
        <v>39</v>
      </c>
      <c r="C28" s="2">
        <f t="shared" ref="C28:K28" si="14">C226</f>
        <v>0</v>
      </c>
      <c r="D28" s="2">
        <f t="shared" si="14"/>
        <v>0</v>
      </c>
      <c r="E28" s="2">
        <f t="shared" si="14"/>
        <v>0</v>
      </c>
      <c r="F28" s="2">
        <f t="shared" si="14"/>
        <v>0</v>
      </c>
      <c r="G28" s="2">
        <f t="shared" si="14"/>
        <v>0</v>
      </c>
      <c r="H28" s="2">
        <f t="shared" si="14"/>
        <v>0</v>
      </c>
      <c r="I28" s="2">
        <f t="shared" si="14"/>
        <v>0</v>
      </c>
      <c r="J28" s="2">
        <f t="shared" si="14"/>
        <v>0</v>
      </c>
      <c r="K28" s="2">
        <f t="shared" si="14"/>
        <v>0</v>
      </c>
      <c r="L28" s="1"/>
    </row>
    <row r="29" spans="1:12" x14ac:dyDescent="0.25">
      <c r="A29" s="4" t="s">
        <v>7</v>
      </c>
      <c r="B29" s="4" t="s">
        <v>7</v>
      </c>
      <c r="C29" s="13"/>
      <c r="D29" s="13"/>
      <c r="E29" s="13"/>
      <c r="F29" s="13"/>
      <c r="G29" s="13"/>
      <c r="H29" s="13"/>
      <c r="I29" s="13"/>
      <c r="J29" s="13"/>
      <c r="K29" s="13"/>
      <c r="L29" s="1"/>
    </row>
    <row r="30" spans="1:12" ht="15.75" thickBot="1" x14ac:dyDescent="0.3">
      <c r="A30" s="6" t="s">
        <v>40</v>
      </c>
      <c r="B30" s="6" t="s">
        <v>41</v>
      </c>
      <c r="C30" s="17">
        <f t="shared" ref="C30:K30" si="15">C28+C27+C26+C25+C24+C23+C21+C13</f>
        <v>686822.23900000751</v>
      </c>
      <c r="D30" s="17">
        <f t="shared" si="15"/>
        <v>0</v>
      </c>
      <c r="E30" s="17">
        <f t="shared" si="15"/>
        <v>-3602803.4044779986</v>
      </c>
      <c r="F30" s="17">
        <f t="shared" si="15"/>
        <v>-545179.89020500053</v>
      </c>
      <c r="G30" s="17">
        <f t="shared" si="15"/>
        <v>-960074.08191199973</v>
      </c>
      <c r="H30" s="17">
        <f t="shared" si="15"/>
        <v>-2002862.7570780013</v>
      </c>
      <c r="I30" s="17">
        <f t="shared" si="15"/>
        <v>-685575.63144399971</v>
      </c>
      <c r="J30" s="17">
        <f t="shared" si="15"/>
        <v>-1868766.995883001</v>
      </c>
      <c r="K30" s="17">
        <f t="shared" si="15"/>
        <v>10352085</v>
      </c>
      <c r="L30" s="1"/>
    </row>
    <row r="31" spans="1:12" ht="15.75" thickTop="1" x14ac:dyDescent="0.25">
      <c r="A31" s="4" t="s">
        <v>7</v>
      </c>
      <c r="B31" s="4" t="s">
        <v>7</v>
      </c>
      <c r="C31" s="13"/>
      <c r="D31" s="13"/>
      <c r="E31" s="13"/>
      <c r="F31" s="13"/>
      <c r="G31" s="13"/>
      <c r="H31" s="13"/>
      <c r="I31" s="13"/>
      <c r="J31" s="13"/>
      <c r="K31" s="13"/>
      <c r="L31" s="1"/>
    </row>
    <row r="32" spans="1:12" x14ac:dyDescent="0.25">
      <c r="A32" s="4" t="s">
        <v>4</v>
      </c>
      <c r="B32" s="4" t="s">
        <v>42</v>
      </c>
      <c r="C32" s="2">
        <f t="shared" ref="C32:K32" si="16">C242</f>
        <v>-2734907.13</v>
      </c>
      <c r="D32" s="2">
        <f t="shared" si="16"/>
        <v>0</v>
      </c>
      <c r="E32" s="2">
        <f t="shared" si="16"/>
        <v>-1026941.18</v>
      </c>
      <c r="F32" s="2">
        <f t="shared" si="16"/>
        <v>-7007.8</v>
      </c>
      <c r="G32" s="2">
        <f t="shared" si="16"/>
        <v>-341818.27</v>
      </c>
      <c r="H32" s="2">
        <f t="shared" si="16"/>
        <v>-127468.26</v>
      </c>
      <c r="I32" s="2">
        <f t="shared" si="16"/>
        <v>-364784.5</v>
      </c>
      <c r="J32" s="2">
        <f t="shared" si="16"/>
        <v>-866887.12</v>
      </c>
      <c r="K32" s="2">
        <f t="shared" si="16"/>
        <v>0</v>
      </c>
      <c r="L32" s="1"/>
    </row>
    <row r="33" spans="1:12" x14ac:dyDescent="0.25">
      <c r="A33" s="4" t="s">
        <v>7</v>
      </c>
      <c r="B33" s="4" t="s">
        <v>7</v>
      </c>
      <c r="C33" s="13"/>
      <c r="D33" s="13"/>
      <c r="E33" s="13"/>
      <c r="F33" s="13"/>
      <c r="G33" s="13"/>
      <c r="H33" s="13"/>
      <c r="I33" s="13"/>
      <c r="J33" s="13"/>
      <c r="K33" s="13"/>
      <c r="L33" s="1"/>
    </row>
    <row r="34" spans="1:12" ht="15.75" thickBot="1" x14ac:dyDescent="0.3">
      <c r="A34" s="6" t="s">
        <v>7</v>
      </c>
      <c r="B34" s="6" t="s">
        <v>43</v>
      </c>
      <c r="C34" s="17">
        <f t="shared" ref="C34:K34" si="17">C30+C32</f>
        <v>-2048084.8909999924</v>
      </c>
      <c r="D34" s="17">
        <f t="shared" si="17"/>
        <v>0</v>
      </c>
      <c r="E34" s="17">
        <f t="shared" si="17"/>
        <v>-4629744.5844779983</v>
      </c>
      <c r="F34" s="17">
        <f t="shared" si="17"/>
        <v>-552187.69020500057</v>
      </c>
      <c r="G34" s="17">
        <f t="shared" si="17"/>
        <v>-1301892.3519119998</v>
      </c>
      <c r="H34" s="17">
        <f t="shared" si="17"/>
        <v>-2130331.0170780011</v>
      </c>
      <c r="I34" s="17">
        <f t="shared" si="17"/>
        <v>-1050360.1314439997</v>
      </c>
      <c r="J34" s="17">
        <f t="shared" si="17"/>
        <v>-2735654.1158830011</v>
      </c>
      <c r="K34" s="17">
        <f t="shared" si="17"/>
        <v>10352085</v>
      </c>
      <c r="L34" s="1"/>
    </row>
    <row r="35" spans="1:12" ht="15.75" thickTop="1" x14ac:dyDescent="0.25">
      <c r="A35" s="4" t="s">
        <v>7</v>
      </c>
      <c r="B35" s="4" t="s">
        <v>7</v>
      </c>
      <c r="C35" s="13"/>
      <c r="D35" s="13"/>
      <c r="E35" s="13"/>
      <c r="F35" s="13"/>
      <c r="G35" s="13"/>
      <c r="H35" s="13"/>
      <c r="I35" s="13"/>
      <c r="J35" s="13"/>
      <c r="K35" s="13"/>
      <c r="L35" s="1"/>
    </row>
    <row r="36" spans="1:12" x14ac:dyDescent="0.25">
      <c r="A36" s="9" t="s">
        <v>7</v>
      </c>
      <c r="B36" s="11" t="s">
        <v>44</v>
      </c>
      <c r="C36" s="2">
        <f>C34-C244</f>
        <v>3.7252902984619141E-9</v>
      </c>
      <c r="D36" s="2">
        <f t="shared" ref="D36:K36" si="18">D34-D244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</row>
    <row r="37" spans="1:12" x14ac:dyDescent="0.25">
      <c r="A37" s="12" t="s">
        <v>7</v>
      </c>
      <c r="B37" s="11" t="s">
        <v>45</v>
      </c>
      <c r="C37" s="2">
        <f t="shared" ref="C37:K37" si="19">SUM(C39:C44)+SUM(C48:C57)+C61+SUM(C67:C68)+SUM(C72:C75)+SUM(C79:C80)+SUM(C84:C105)+C109+SUM(C114:C120)+SUM(C129:C134)+SUM(C138:C196)+SUM(C200:C207)+SUM(C211:C217)+C221+C225+SUM(C231:C233)+SUM(C239:C241)-C34</f>
        <v>-3.7252902984619141E-9</v>
      </c>
      <c r="D37" s="2">
        <f t="shared" si="19"/>
        <v>0</v>
      </c>
      <c r="E37" s="2">
        <f t="shared" si="19"/>
        <v>0</v>
      </c>
      <c r="F37" s="2">
        <f t="shared" si="19"/>
        <v>0</v>
      </c>
      <c r="G37" s="2">
        <f t="shared" si="19"/>
        <v>0</v>
      </c>
      <c r="H37" s="2">
        <f t="shared" si="19"/>
        <v>0</v>
      </c>
      <c r="I37" s="2">
        <f t="shared" si="19"/>
        <v>0</v>
      </c>
      <c r="J37" s="2">
        <f t="shared" si="19"/>
        <v>0</v>
      </c>
      <c r="K37" s="2">
        <f t="shared" si="19"/>
        <v>0</v>
      </c>
    </row>
    <row r="38" spans="1:12" x14ac:dyDescent="0.25">
      <c r="A38" s="5" t="s">
        <v>46</v>
      </c>
      <c r="B38" s="5" t="s">
        <v>47</v>
      </c>
      <c r="C38" s="16"/>
      <c r="D38" s="16"/>
      <c r="E38" s="16"/>
      <c r="F38" s="16"/>
      <c r="G38" s="16"/>
      <c r="H38" s="16"/>
      <c r="I38" s="16"/>
      <c r="J38" s="16"/>
      <c r="L38" s="1"/>
    </row>
    <row r="39" spans="1:12" x14ac:dyDescent="0.25">
      <c r="A39" s="4" t="s">
        <v>48</v>
      </c>
      <c r="B39" s="4" t="s">
        <v>49</v>
      </c>
      <c r="C39" s="2">
        <f t="shared" ref="C39:C44" si="20">SUM(D39:K39)</f>
        <v>41002274</v>
      </c>
      <c r="D39" s="13"/>
      <c r="E39" s="2">
        <v>15736444</v>
      </c>
      <c r="F39" s="2">
        <v>186934</v>
      </c>
      <c r="G39" s="2">
        <v>5251146</v>
      </c>
      <c r="H39" s="2">
        <v>5034473</v>
      </c>
      <c r="I39" s="2">
        <v>7868222</v>
      </c>
      <c r="J39" s="2">
        <v>6925055</v>
      </c>
      <c r="K39" s="13"/>
      <c r="L39" s="1"/>
    </row>
    <row r="40" spans="1:12" x14ac:dyDescent="0.25">
      <c r="A40" s="4" t="s">
        <v>50</v>
      </c>
      <c r="B40" s="4" t="s">
        <v>51</v>
      </c>
      <c r="C40" s="2">
        <f t="shared" si="20"/>
        <v>1883404</v>
      </c>
      <c r="D40" s="13"/>
      <c r="E40" s="2">
        <v>723150</v>
      </c>
      <c r="F40" s="13"/>
      <c r="G40" s="2">
        <v>241050</v>
      </c>
      <c r="H40" s="2">
        <v>276404</v>
      </c>
      <c r="I40" s="2">
        <v>321400</v>
      </c>
      <c r="J40" s="2">
        <v>321400</v>
      </c>
      <c r="K40" s="13"/>
      <c r="L40" s="1"/>
    </row>
    <row r="41" spans="1:12" x14ac:dyDescent="0.25">
      <c r="A41" s="4" t="s">
        <v>52</v>
      </c>
      <c r="B41" s="4" t="s">
        <v>53</v>
      </c>
      <c r="C41" s="2">
        <f t="shared" si="20"/>
        <v>537285</v>
      </c>
      <c r="D41" s="13"/>
      <c r="E41" s="2">
        <v>168560</v>
      </c>
      <c r="F41" s="13"/>
      <c r="G41" s="2">
        <v>84280</v>
      </c>
      <c r="H41" s="2">
        <v>52675</v>
      </c>
      <c r="I41" s="2">
        <v>189630</v>
      </c>
      <c r="J41" s="2">
        <v>42140</v>
      </c>
      <c r="K41" s="13"/>
      <c r="L41" s="1"/>
    </row>
    <row r="42" spans="1:12" x14ac:dyDescent="0.25">
      <c r="A42" s="4" t="s">
        <v>54</v>
      </c>
      <c r="B42" s="4" t="s">
        <v>55</v>
      </c>
      <c r="C42" s="2">
        <f t="shared" si="20"/>
        <v>3838318</v>
      </c>
      <c r="D42" s="13"/>
      <c r="E42" s="2">
        <v>2010580</v>
      </c>
      <c r="F42" s="13"/>
      <c r="G42" s="2">
        <v>812328</v>
      </c>
      <c r="H42" s="2">
        <v>304623</v>
      </c>
      <c r="I42" s="2">
        <v>304623</v>
      </c>
      <c r="J42" s="2">
        <v>406164</v>
      </c>
      <c r="K42" s="13"/>
      <c r="L42" s="1"/>
    </row>
    <row r="43" spans="1:12" x14ac:dyDescent="0.25">
      <c r="A43" s="4" t="s">
        <v>56</v>
      </c>
      <c r="B43" s="4" t="s">
        <v>57</v>
      </c>
      <c r="C43" s="2">
        <f t="shared" si="20"/>
        <v>11157250</v>
      </c>
      <c r="D43" s="2">
        <v>2226850</v>
      </c>
      <c r="E43" s="2">
        <v>1786080</v>
      </c>
      <c r="F43" s="13"/>
      <c r="G43" s="2">
        <v>1786080</v>
      </c>
      <c r="H43" s="2">
        <v>1786080</v>
      </c>
      <c r="I43" s="2">
        <v>1786080</v>
      </c>
      <c r="J43" s="2">
        <v>1786080</v>
      </c>
      <c r="K43" s="13"/>
      <c r="L43" s="1"/>
    </row>
    <row r="44" spans="1:12" x14ac:dyDescent="0.25">
      <c r="A44" s="4" t="s">
        <v>58</v>
      </c>
      <c r="B44" s="4" t="s">
        <v>59</v>
      </c>
      <c r="C44" s="2">
        <f t="shared" si="20"/>
        <v>10352085</v>
      </c>
      <c r="D44" s="13"/>
      <c r="E44" s="13"/>
      <c r="F44" s="13"/>
      <c r="G44" s="13"/>
      <c r="H44" s="13"/>
      <c r="I44" s="13"/>
      <c r="J44" s="13"/>
      <c r="K44" s="2">
        <f>1675895+4637241+4038949</f>
        <v>10352085</v>
      </c>
      <c r="L44" s="1"/>
    </row>
    <row r="45" spans="1:12" x14ac:dyDescent="0.25">
      <c r="A45" s="5" t="s">
        <v>60</v>
      </c>
      <c r="B45" s="5" t="s">
        <v>61</v>
      </c>
      <c r="C45" s="16">
        <f t="shared" ref="C45:K45" si="21">SUM(C39:C44)</f>
        <v>68770616</v>
      </c>
      <c r="D45" s="16">
        <f t="shared" si="21"/>
        <v>2226850</v>
      </c>
      <c r="E45" s="16">
        <f t="shared" si="21"/>
        <v>20424814</v>
      </c>
      <c r="F45" s="16">
        <f t="shared" si="21"/>
        <v>186934</v>
      </c>
      <c r="G45" s="16">
        <f t="shared" si="21"/>
        <v>8174884</v>
      </c>
      <c r="H45" s="16">
        <f t="shared" si="21"/>
        <v>7454255</v>
      </c>
      <c r="I45" s="16">
        <f t="shared" si="21"/>
        <v>10469955</v>
      </c>
      <c r="J45" s="16">
        <f t="shared" si="21"/>
        <v>9480839</v>
      </c>
      <c r="K45" s="16">
        <f t="shared" si="21"/>
        <v>10352085</v>
      </c>
      <c r="L45" s="1"/>
    </row>
    <row r="46" spans="1:12" x14ac:dyDescent="0.25">
      <c r="A46" s="4" t="s">
        <v>7</v>
      </c>
      <c r="B46" s="4" t="s">
        <v>7</v>
      </c>
      <c r="C46" s="13"/>
      <c r="D46" s="13"/>
      <c r="E46" s="13"/>
      <c r="F46" s="13"/>
      <c r="G46" s="13"/>
      <c r="H46" s="13"/>
      <c r="I46" s="13"/>
      <c r="J46" s="13"/>
      <c r="K46" s="13"/>
      <c r="L46" s="1"/>
    </row>
    <row r="47" spans="1:12" x14ac:dyDescent="0.25">
      <c r="A47" s="5" t="s">
        <v>62</v>
      </c>
      <c r="B47" s="5" t="s">
        <v>63</v>
      </c>
      <c r="C47" s="16"/>
      <c r="D47" s="16"/>
      <c r="E47" s="16"/>
      <c r="F47" s="16"/>
      <c r="G47" s="16"/>
      <c r="H47" s="16"/>
      <c r="I47" s="16"/>
      <c r="J47" s="16"/>
      <c r="K47" s="16"/>
      <c r="L47" s="1"/>
    </row>
    <row r="48" spans="1:12" x14ac:dyDescent="0.25">
      <c r="A48" s="4" t="s">
        <v>64</v>
      </c>
      <c r="B48" s="4" t="s">
        <v>65</v>
      </c>
      <c r="C48" s="2">
        <f t="shared" ref="C48:C57" si="22">SUM(D48:K48)</f>
        <v>0</v>
      </c>
      <c r="D48" s="13"/>
      <c r="E48" s="13"/>
      <c r="F48" s="13"/>
      <c r="G48" s="13"/>
      <c r="H48" s="13"/>
      <c r="I48" s="13"/>
      <c r="J48" s="13"/>
      <c r="K48" s="13"/>
      <c r="L48" s="1"/>
    </row>
    <row r="49" spans="1:12" x14ac:dyDescent="0.25">
      <c r="A49" s="4" t="s">
        <v>66</v>
      </c>
      <c r="B49" s="4" t="s">
        <v>67</v>
      </c>
      <c r="C49" s="2">
        <f t="shared" si="22"/>
        <v>0</v>
      </c>
      <c r="D49" s="13"/>
      <c r="E49" s="13"/>
      <c r="F49" s="13"/>
      <c r="G49" s="13"/>
      <c r="H49" s="13"/>
      <c r="I49" s="13"/>
      <c r="J49" s="13"/>
      <c r="K49" s="13"/>
      <c r="L49" s="1"/>
    </row>
    <row r="50" spans="1:12" x14ac:dyDescent="0.25">
      <c r="A50" s="4" t="s">
        <v>68</v>
      </c>
      <c r="B50" s="4" t="s">
        <v>69</v>
      </c>
      <c r="C50" s="2">
        <f t="shared" si="22"/>
        <v>50000</v>
      </c>
      <c r="D50" s="13"/>
      <c r="E50" s="2">
        <v>50000</v>
      </c>
      <c r="F50" s="13"/>
      <c r="G50" s="13"/>
      <c r="H50" s="13"/>
      <c r="I50" s="13"/>
      <c r="J50" s="13"/>
      <c r="K50" s="13"/>
      <c r="L50" s="1"/>
    </row>
    <row r="51" spans="1:12" x14ac:dyDescent="0.25">
      <c r="A51" s="4" t="s">
        <v>70</v>
      </c>
      <c r="B51" s="4" t="s">
        <v>71</v>
      </c>
      <c r="C51" s="2">
        <f t="shared" si="22"/>
        <v>278162</v>
      </c>
      <c r="D51" s="13"/>
      <c r="E51" s="2">
        <v>50000</v>
      </c>
      <c r="F51" s="2">
        <v>210000</v>
      </c>
      <c r="G51" s="2">
        <v>18162</v>
      </c>
      <c r="H51" s="13"/>
      <c r="I51" s="13"/>
      <c r="J51" s="13"/>
      <c r="K51" s="13"/>
      <c r="L51" s="1"/>
    </row>
    <row r="52" spans="1:12" x14ac:dyDescent="0.25">
      <c r="A52" s="4" t="s">
        <v>72</v>
      </c>
      <c r="B52" s="4" t="s">
        <v>73</v>
      </c>
      <c r="C52" s="2">
        <f t="shared" si="22"/>
        <v>22054</v>
      </c>
      <c r="D52" s="13"/>
      <c r="E52" s="2">
        <v>16000</v>
      </c>
      <c r="F52" s="13"/>
      <c r="G52" s="13"/>
      <c r="H52" s="13"/>
      <c r="I52" s="2">
        <v>6054</v>
      </c>
      <c r="J52" s="13"/>
      <c r="K52" s="13"/>
      <c r="L52" s="1"/>
    </row>
    <row r="53" spans="1:12" x14ac:dyDescent="0.25">
      <c r="A53" s="4" t="s">
        <v>74</v>
      </c>
      <c r="B53" s="4" t="s">
        <v>75</v>
      </c>
      <c r="C53" s="2">
        <f t="shared" si="22"/>
        <v>27243</v>
      </c>
      <c r="D53" s="13"/>
      <c r="E53" s="13"/>
      <c r="F53" s="13"/>
      <c r="G53" s="13"/>
      <c r="H53" s="13"/>
      <c r="I53" s="13"/>
      <c r="J53" s="2">
        <v>27243</v>
      </c>
      <c r="K53" s="13"/>
      <c r="L53" s="1"/>
    </row>
    <row r="54" spans="1:12" x14ac:dyDescent="0.25">
      <c r="A54" s="4" t="s">
        <v>76</v>
      </c>
      <c r="B54" s="4" t="s">
        <v>77</v>
      </c>
      <c r="C54" s="2">
        <f t="shared" si="22"/>
        <v>3576625</v>
      </c>
      <c r="D54" s="13"/>
      <c r="E54" s="2">
        <v>250000</v>
      </c>
      <c r="F54" s="2">
        <v>3050500</v>
      </c>
      <c r="G54" s="2">
        <v>150000</v>
      </c>
      <c r="H54" s="2">
        <v>50450</v>
      </c>
      <c r="I54" s="2">
        <v>75675</v>
      </c>
      <c r="J54" s="13"/>
      <c r="K54" s="13"/>
      <c r="L54" s="1"/>
    </row>
    <row r="55" spans="1:12" x14ac:dyDescent="0.25">
      <c r="A55" s="4" t="s">
        <v>78</v>
      </c>
      <c r="B55" s="4" t="s">
        <v>79</v>
      </c>
      <c r="C55" s="2">
        <f t="shared" si="22"/>
        <v>235765</v>
      </c>
      <c r="D55" s="13"/>
      <c r="E55" s="2">
        <v>100000</v>
      </c>
      <c r="F55" s="13"/>
      <c r="G55" s="2">
        <v>50000</v>
      </c>
      <c r="H55" s="13"/>
      <c r="I55" s="2">
        <v>75675</v>
      </c>
      <c r="J55" s="2">
        <v>10090</v>
      </c>
      <c r="K55" s="13"/>
      <c r="L55" s="1"/>
    </row>
    <row r="56" spans="1:12" x14ac:dyDescent="0.25">
      <c r="A56" s="4" t="s">
        <v>80</v>
      </c>
      <c r="B56" s="4" t="s">
        <v>81</v>
      </c>
      <c r="C56" s="2">
        <f t="shared" si="22"/>
        <v>1513.5</v>
      </c>
      <c r="D56" s="13"/>
      <c r="E56" s="13"/>
      <c r="F56" s="13"/>
      <c r="G56" s="13"/>
      <c r="H56" s="13"/>
      <c r="I56" s="2">
        <v>1513.5</v>
      </c>
      <c r="J56" s="13"/>
      <c r="K56" s="13"/>
      <c r="L56" s="1"/>
    </row>
    <row r="57" spans="1:12" x14ac:dyDescent="0.25">
      <c r="A57" s="4" t="s">
        <v>82</v>
      </c>
      <c r="B57" s="4" t="s">
        <v>83</v>
      </c>
      <c r="C57" s="2">
        <f t="shared" si="22"/>
        <v>349549.56</v>
      </c>
      <c r="D57" s="13"/>
      <c r="E57" s="2">
        <v>20000</v>
      </c>
      <c r="F57" s="13"/>
      <c r="G57" s="2">
        <v>250000</v>
      </c>
      <c r="H57" s="13"/>
      <c r="I57" s="13"/>
      <c r="J57" s="2">
        <v>79549.56</v>
      </c>
      <c r="K57" s="13"/>
      <c r="L57" s="1"/>
    </row>
    <row r="58" spans="1:12" x14ac:dyDescent="0.25">
      <c r="A58" s="5" t="s">
        <v>84</v>
      </c>
      <c r="B58" s="5" t="s">
        <v>12</v>
      </c>
      <c r="C58" s="16">
        <f>SUM(C48:C57)</f>
        <v>4540912.0599999996</v>
      </c>
      <c r="D58" s="16">
        <f t="shared" ref="D58:K58" si="23">SUM(D48:D57)</f>
        <v>0</v>
      </c>
      <c r="E58" s="16">
        <f t="shared" si="23"/>
        <v>486000</v>
      </c>
      <c r="F58" s="16">
        <f t="shared" si="23"/>
        <v>3260500</v>
      </c>
      <c r="G58" s="16">
        <f t="shared" si="23"/>
        <v>468162</v>
      </c>
      <c r="H58" s="16">
        <f t="shared" si="23"/>
        <v>50450</v>
      </c>
      <c r="I58" s="16">
        <f t="shared" si="23"/>
        <v>158917.5</v>
      </c>
      <c r="J58" s="16">
        <f t="shared" si="23"/>
        <v>116882.56</v>
      </c>
      <c r="K58" s="16">
        <f t="shared" si="23"/>
        <v>0</v>
      </c>
      <c r="L58" s="1"/>
    </row>
    <row r="59" spans="1:12" x14ac:dyDescent="0.25">
      <c r="A59" s="4" t="s">
        <v>7</v>
      </c>
      <c r="B59" s="4" t="s">
        <v>7</v>
      </c>
      <c r="C59" s="13"/>
      <c r="D59" s="13"/>
      <c r="E59" s="13"/>
      <c r="F59" s="13"/>
      <c r="G59" s="13"/>
      <c r="H59" s="13"/>
      <c r="I59" s="13"/>
      <c r="J59" s="13"/>
      <c r="K59" s="13"/>
      <c r="L59" s="1"/>
    </row>
    <row r="60" spans="1:12" x14ac:dyDescent="0.25">
      <c r="A60" s="5" t="s">
        <v>85</v>
      </c>
      <c r="B60" s="5" t="s">
        <v>86</v>
      </c>
      <c r="C60" s="16"/>
      <c r="D60" s="16"/>
      <c r="E60" s="16"/>
      <c r="F60" s="16"/>
      <c r="G60" s="16"/>
      <c r="H60" s="16"/>
      <c r="I60" s="16"/>
      <c r="J60" s="16"/>
      <c r="K60" s="16"/>
      <c r="L60" s="1"/>
    </row>
    <row r="61" spans="1:12" x14ac:dyDescent="0.25">
      <c r="A61" s="4" t="s">
        <v>87</v>
      </c>
      <c r="B61" s="4" t="s">
        <v>88</v>
      </c>
      <c r="C61" s="2">
        <f t="shared" ref="C61" si="24">SUM(D61:K61)</f>
        <v>574516.53</v>
      </c>
      <c r="D61" s="13"/>
      <c r="E61" s="2">
        <v>473616.53</v>
      </c>
      <c r="F61" s="13"/>
      <c r="G61" s="13"/>
      <c r="H61" s="2">
        <v>40360</v>
      </c>
      <c r="I61" s="13"/>
      <c r="J61" s="2">
        <v>60540</v>
      </c>
      <c r="K61" s="13"/>
      <c r="L61" s="1"/>
    </row>
    <row r="62" spans="1:12" x14ac:dyDescent="0.25">
      <c r="A62" s="5" t="s">
        <v>89</v>
      </c>
      <c r="B62" s="5" t="s">
        <v>90</v>
      </c>
      <c r="C62" s="16">
        <f>C61</f>
        <v>574516.53</v>
      </c>
      <c r="D62" s="16">
        <f t="shared" ref="D62:K62" si="25">D61</f>
        <v>0</v>
      </c>
      <c r="E62" s="16">
        <f t="shared" si="25"/>
        <v>473616.53</v>
      </c>
      <c r="F62" s="16">
        <f t="shared" si="25"/>
        <v>0</v>
      </c>
      <c r="G62" s="16">
        <f t="shared" si="25"/>
        <v>0</v>
      </c>
      <c r="H62" s="16">
        <f t="shared" si="25"/>
        <v>40360</v>
      </c>
      <c r="I62" s="16">
        <f t="shared" si="25"/>
        <v>0</v>
      </c>
      <c r="J62" s="16">
        <f t="shared" si="25"/>
        <v>60540</v>
      </c>
      <c r="K62" s="16">
        <f t="shared" si="25"/>
        <v>0</v>
      </c>
      <c r="L62" s="1"/>
    </row>
    <row r="63" spans="1:12" x14ac:dyDescent="0.25">
      <c r="A63" s="4" t="s">
        <v>7</v>
      </c>
      <c r="B63" s="4" t="s">
        <v>7</v>
      </c>
      <c r="C63" s="13"/>
      <c r="D63" s="13"/>
      <c r="E63" s="13"/>
      <c r="F63" s="13"/>
      <c r="G63" s="13"/>
      <c r="H63" s="13"/>
      <c r="I63" s="13"/>
      <c r="J63" s="13"/>
      <c r="K63" s="13"/>
      <c r="L63" s="1"/>
    </row>
    <row r="64" spans="1:12" x14ac:dyDescent="0.25">
      <c r="A64" s="5" t="s">
        <v>91</v>
      </c>
      <c r="B64" s="5" t="s">
        <v>92</v>
      </c>
      <c r="C64" s="16">
        <f>C45+C58+C62</f>
        <v>73886044.590000004</v>
      </c>
      <c r="D64" s="16">
        <f t="shared" ref="D64:K64" si="26">D45+D58+D62</f>
        <v>2226850</v>
      </c>
      <c r="E64" s="16">
        <f t="shared" si="26"/>
        <v>21384430.530000001</v>
      </c>
      <c r="F64" s="16">
        <f t="shared" si="26"/>
        <v>3447434</v>
      </c>
      <c r="G64" s="16">
        <f t="shared" si="26"/>
        <v>8643046</v>
      </c>
      <c r="H64" s="16">
        <f t="shared" si="26"/>
        <v>7545065</v>
      </c>
      <c r="I64" s="16">
        <f t="shared" si="26"/>
        <v>10628872.5</v>
      </c>
      <c r="J64" s="16">
        <f t="shared" si="26"/>
        <v>9658261.5600000005</v>
      </c>
      <c r="K64" s="16">
        <f t="shared" si="26"/>
        <v>10352085</v>
      </c>
      <c r="L64" s="1"/>
    </row>
    <row r="65" spans="1:12" x14ac:dyDescent="0.25">
      <c r="A65" s="4" t="s">
        <v>7</v>
      </c>
      <c r="B65" s="4" t="s">
        <v>7</v>
      </c>
      <c r="C65" s="13"/>
      <c r="D65" s="13"/>
      <c r="E65" s="13"/>
      <c r="F65" s="13"/>
      <c r="G65" s="13"/>
      <c r="H65" s="13"/>
      <c r="I65" s="13"/>
      <c r="J65" s="13"/>
      <c r="K65" s="13"/>
      <c r="L65" s="1"/>
    </row>
    <row r="66" spans="1:12" x14ac:dyDescent="0.25">
      <c r="A66" s="5" t="s">
        <v>93</v>
      </c>
      <c r="B66" s="5" t="s">
        <v>94</v>
      </c>
      <c r="C66" s="16"/>
      <c r="D66" s="16"/>
      <c r="E66" s="16"/>
      <c r="F66" s="16"/>
      <c r="G66" s="16"/>
      <c r="H66" s="16"/>
      <c r="I66" s="16"/>
      <c r="J66" s="16"/>
      <c r="K66" s="16"/>
      <c r="L66" s="1"/>
    </row>
    <row r="67" spans="1:12" x14ac:dyDescent="0.25">
      <c r="A67" s="4" t="s">
        <v>95</v>
      </c>
      <c r="B67" s="4" t="s">
        <v>96</v>
      </c>
      <c r="C67" s="2">
        <f t="shared" ref="C67:C68" si="27">SUM(D67:K67)</f>
        <v>0</v>
      </c>
      <c r="D67" s="13"/>
      <c r="E67" s="13"/>
      <c r="F67" s="13"/>
      <c r="G67" s="13"/>
      <c r="H67" s="13"/>
      <c r="I67" s="13"/>
      <c r="J67" s="13"/>
      <c r="K67" s="13"/>
      <c r="L67" s="1"/>
    </row>
    <row r="68" spans="1:12" x14ac:dyDescent="0.25">
      <c r="A68" s="4" t="s">
        <v>97</v>
      </c>
      <c r="B68" s="4" t="s">
        <v>98</v>
      </c>
      <c r="C68" s="2">
        <f t="shared" si="27"/>
        <v>0</v>
      </c>
      <c r="D68" s="13"/>
      <c r="E68" s="13"/>
      <c r="F68" s="13"/>
      <c r="G68" s="13"/>
      <c r="H68" s="13"/>
      <c r="I68" s="13"/>
      <c r="J68" s="13"/>
      <c r="K68" s="13"/>
      <c r="L68" s="1"/>
    </row>
    <row r="69" spans="1:12" x14ac:dyDescent="0.25">
      <c r="A69" s="5" t="s">
        <v>99</v>
      </c>
      <c r="B69" s="5" t="s">
        <v>100</v>
      </c>
      <c r="C69" s="16">
        <f t="shared" ref="C69:K69" si="28">C68+C67</f>
        <v>0</v>
      </c>
      <c r="D69" s="16">
        <f t="shared" si="28"/>
        <v>0</v>
      </c>
      <c r="E69" s="16">
        <f t="shared" si="28"/>
        <v>0</v>
      </c>
      <c r="F69" s="16">
        <f t="shared" si="28"/>
        <v>0</v>
      </c>
      <c r="G69" s="16">
        <f t="shared" si="28"/>
        <v>0</v>
      </c>
      <c r="H69" s="16">
        <f t="shared" si="28"/>
        <v>0</v>
      </c>
      <c r="I69" s="16">
        <f t="shared" si="28"/>
        <v>0</v>
      </c>
      <c r="J69" s="16">
        <f t="shared" si="28"/>
        <v>0</v>
      </c>
      <c r="K69" s="16">
        <f t="shared" si="28"/>
        <v>0</v>
      </c>
      <c r="L69" s="1"/>
    </row>
    <row r="70" spans="1:12" x14ac:dyDescent="0.25">
      <c r="A70" s="4" t="s">
        <v>7</v>
      </c>
      <c r="B70" s="4" t="s">
        <v>7</v>
      </c>
      <c r="C70" s="13"/>
      <c r="D70" s="13"/>
      <c r="E70" s="13"/>
      <c r="F70" s="13"/>
      <c r="G70" s="13"/>
      <c r="H70" s="13"/>
      <c r="I70" s="13"/>
      <c r="J70" s="13"/>
      <c r="K70" s="13"/>
      <c r="L70" s="1"/>
    </row>
    <row r="71" spans="1:12" x14ac:dyDescent="0.25">
      <c r="A71" s="5" t="s">
        <v>101</v>
      </c>
      <c r="B71" s="5" t="s">
        <v>102</v>
      </c>
      <c r="C71" s="16"/>
      <c r="D71" s="16"/>
      <c r="E71" s="16"/>
      <c r="F71" s="16"/>
      <c r="G71" s="16"/>
      <c r="H71" s="16"/>
      <c r="I71" s="16"/>
      <c r="J71" s="16"/>
      <c r="K71" s="16"/>
      <c r="L71" s="1"/>
    </row>
    <row r="72" spans="1:12" x14ac:dyDescent="0.25">
      <c r="A72" s="4" t="s">
        <v>103</v>
      </c>
      <c r="B72" s="4" t="s">
        <v>104</v>
      </c>
      <c r="C72" s="2">
        <f>SUM(D72:K72)</f>
        <v>0</v>
      </c>
      <c r="D72" s="13"/>
      <c r="E72" s="13"/>
      <c r="F72" s="13"/>
      <c r="G72" s="13"/>
      <c r="H72" s="13"/>
      <c r="I72" s="13"/>
      <c r="J72" s="13"/>
      <c r="K72" s="13"/>
      <c r="L72" s="1"/>
    </row>
    <row r="73" spans="1:12" x14ac:dyDescent="0.25">
      <c r="A73" s="4" t="s">
        <v>105</v>
      </c>
      <c r="B73" s="4" t="s">
        <v>106</v>
      </c>
      <c r="C73" s="2">
        <f t="shared" ref="C73:C75" si="29">SUM(D73:K73)</f>
        <v>-8072</v>
      </c>
      <c r="D73" s="13"/>
      <c r="E73" s="13"/>
      <c r="F73" s="13"/>
      <c r="G73" s="13"/>
      <c r="H73" s="2">
        <v>-8072</v>
      </c>
      <c r="I73" s="13"/>
      <c r="J73" s="13"/>
      <c r="K73" s="13"/>
      <c r="L73" s="1"/>
    </row>
    <row r="74" spans="1:12" x14ac:dyDescent="0.25">
      <c r="A74" s="4" t="s">
        <v>107</v>
      </c>
      <c r="B74" s="4" t="s">
        <v>108</v>
      </c>
      <c r="C74" s="2">
        <f t="shared" si="29"/>
        <v>-37998.94</v>
      </c>
      <c r="D74" s="13"/>
      <c r="E74" s="13"/>
      <c r="F74" s="13"/>
      <c r="G74" s="13"/>
      <c r="H74" s="13"/>
      <c r="I74" s="13"/>
      <c r="J74" s="2">
        <v>-37998.94</v>
      </c>
      <c r="K74" s="13"/>
      <c r="L74" s="1"/>
    </row>
    <row r="75" spans="1:12" x14ac:dyDescent="0.25">
      <c r="A75" s="4" t="s">
        <v>109</v>
      </c>
      <c r="B75" s="4" t="s">
        <v>110</v>
      </c>
      <c r="C75" s="2">
        <f t="shared" si="29"/>
        <v>-104040.87</v>
      </c>
      <c r="D75" s="13"/>
      <c r="E75" s="2">
        <v>-7000</v>
      </c>
      <c r="F75" s="2">
        <v>-5545.87</v>
      </c>
      <c r="G75" s="2">
        <v>-36000</v>
      </c>
      <c r="H75" s="2">
        <v>-5045</v>
      </c>
      <c r="I75" s="13"/>
      <c r="J75" s="2">
        <v>-50450</v>
      </c>
      <c r="K75" s="13"/>
      <c r="L75" s="1"/>
    </row>
    <row r="76" spans="1:12" x14ac:dyDescent="0.25">
      <c r="A76" s="5" t="s">
        <v>111</v>
      </c>
      <c r="B76" s="5" t="s">
        <v>112</v>
      </c>
      <c r="C76" s="16">
        <f t="shared" ref="C76:K76" si="30">C75+C74+C73+C72</f>
        <v>-150111.81</v>
      </c>
      <c r="D76" s="16">
        <f t="shared" si="30"/>
        <v>0</v>
      </c>
      <c r="E76" s="16">
        <f t="shared" si="30"/>
        <v>-7000</v>
      </c>
      <c r="F76" s="16">
        <f t="shared" si="30"/>
        <v>-5545.87</v>
      </c>
      <c r="G76" s="16">
        <f t="shared" si="30"/>
        <v>-36000</v>
      </c>
      <c r="H76" s="16">
        <f t="shared" si="30"/>
        <v>-13117</v>
      </c>
      <c r="I76" s="16">
        <f t="shared" si="30"/>
        <v>0</v>
      </c>
      <c r="J76" s="16">
        <f t="shared" si="30"/>
        <v>-88448.94</v>
      </c>
      <c r="K76" s="16">
        <f t="shared" si="30"/>
        <v>0</v>
      </c>
      <c r="L76" s="1"/>
    </row>
    <row r="77" spans="1:12" x14ac:dyDescent="0.25">
      <c r="A77" s="4" t="s">
        <v>7</v>
      </c>
      <c r="B77" s="4" t="s">
        <v>7</v>
      </c>
      <c r="C77" s="13"/>
      <c r="D77" s="13"/>
      <c r="E77" s="13"/>
      <c r="F77" s="13"/>
      <c r="G77" s="13"/>
      <c r="H77" s="13"/>
      <c r="I77" s="13"/>
      <c r="J77" s="13"/>
      <c r="K77" s="13"/>
      <c r="L77" s="1"/>
    </row>
    <row r="78" spans="1:12" x14ac:dyDescent="0.25">
      <c r="A78" s="5" t="s">
        <v>113</v>
      </c>
      <c r="B78" s="5" t="s">
        <v>114</v>
      </c>
      <c r="C78" s="16"/>
      <c r="D78" s="16"/>
      <c r="E78" s="16"/>
      <c r="F78" s="16"/>
      <c r="G78" s="16"/>
      <c r="H78" s="16"/>
      <c r="I78" s="16"/>
      <c r="J78" s="16"/>
      <c r="K78" s="16"/>
      <c r="L78" s="1"/>
    </row>
    <row r="79" spans="1:12" x14ac:dyDescent="0.25">
      <c r="A79" s="4" t="s">
        <v>115</v>
      </c>
      <c r="B79" s="4" t="s">
        <v>116</v>
      </c>
      <c r="C79" s="2">
        <f>SUM(D79:K79)</f>
        <v>0</v>
      </c>
      <c r="D79" s="13"/>
      <c r="E79" s="13"/>
      <c r="F79" s="13"/>
      <c r="G79" s="13"/>
      <c r="H79" s="13"/>
      <c r="I79" s="13"/>
      <c r="J79" s="13"/>
      <c r="K79" s="13"/>
      <c r="L79" s="1"/>
    </row>
    <row r="80" spans="1:12" x14ac:dyDescent="0.25">
      <c r="A80" s="4" t="s">
        <v>117</v>
      </c>
      <c r="B80" s="4" t="s">
        <v>118</v>
      </c>
      <c r="C80" s="2">
        <f>SUM(D80:K80)</f>
        <v>0</v>
      </c>
      <c r="D80" s="13"/>
      <c r="E80" s="13"/>
      <c r="F80" s="13"/>
      <c r="G80" s="13"/>
      <c r="H80" s="13"/>
      <c r="I80" s="13"/>
      <c r="J80" s="13"/>
      <c r="K80" s="13"/>
      <c r="L80" s="1"/>
    </row>
    <row r="81" spans="1:12" x14ac:dyDescent="0.25">
      <c r="A81" s="5" t="s">
        <v>119</v>
      </c>
      <c r="B81" s="5" t="s">
        <v>120</v>
      </c>
      <c r="C81" s="16">
        <f t="shared" ref="C81:K81" si="31">C80+C79</f>
        <v>0</v>
      </c>
      <c r="D81" s="16">
        <f t="shared" si="31"/>
        <v>0</v>
      </c>
      <c r="E81" s="16">
        <f t="shared" si="31"/>
        <v>0</v>
      </c>
      <c r="F81" s="16">
        <f t="shared" si="31"/>
        <v>0</v>
      </c>
      <c r="G81" s="16">
        <f t="shared" si="31"/>
        <v>0</v>
      </c>
      <c r="H81" s="16">
        <f t="shared" si="31"/>
        <v>0</v>
      </c>
      <c r="I81" s="16">
        <f t="shared" si="31"/>
        <v>0</v>
      </c>
      <c r="J81" s="16">
        <f t="shared" si="31"/>
        <v>0</v>
      </c>
      <c r="K81" s="16">
        <f t="shared" si="31"/>
        <v>0</v>
      </c>
      <c r="L81" s="1"/>
    </row>
    <row r="82" spans="1:12" x14ac:dyDescent="0.25">
      <c r="A82" s="4" t="s">
        <v>7</v>
      </c>
      <c r="B82" s="4" t="s">
        <v>7</v>
      </c>
      <c r="C82" s="13"/>
      <c r="D82" s="13"/>
      <c r="E82" s="13"/>
      <c r="F82" s="13"/>
      <c r="G82" s="13"/>
      <c r="H82" s="13"/>
      <c r="I82" s="13"/>
      <c r="J82" s="13"/>
      <c r="K82" s="13"/>
      <c r="L82" s="1"/>
    </row>
    <row r="83" spans="1:12" x14ac:dyDescent="0.25">
      <c r="A83" s="5" t="s">
        <v>121</v>
      </c>
      <c r="B83" s="5" t="s">
        <v>25</v>
      </c>
      <c r="C83" s="16"/>
      <c r="D83" s="16"/>
      <c r="E83" s="16"/>
      <c r="F83" s="16"/>
      <c r="G83" s="16"/>
      <c r="H83" s="16"/>
      <c r="I83" s="16"/>
      <c r="J83" s="16"/>
      <c r="K83" s="16"/>
      <c r="L83" s="1"/>
    </row>
    <row r="84" spans="1:12" x14ac:dyDescent="0.25">
      <c r="A84" s="4" t="s">
        <v>122</v>
      </c>
      <c r="B84" s="4" t="s">
        <v>123</v>
      </c>
      <c r="C84" s="2">
        <f t="shared" ref="C84:C105" si="32">SUM(D84:K84)</f>
        <v>0</v>
      </c>
      <c r="D84" s="13"/>
      <c r="E84" s="13"/>
      <c r="F84" s="13"/>
      <c r="G84" s="13"/>
      <c r="H84" s="13"/>
      <c r="I84" s="13"/>
      <c r="J84" s="13"/>
      <c r="K84" s="13"/>
      <c r="L84" s="1"/>
    </row>
    <row r="85" spans="1:12" x14ac:dyDescent="0.25">
      <c r="A85" s="4" t="s">
        <v>124</v>
      </c>
      <c r="B85" s="4" t="s">
        <v>125</v>
      </c>
      <c r="C85" s="2">
        <f t="shared" si="32"/>
        <v>-860000</v>
      </c>
      <c r="D85" s="2">
        <v>-860000</v>
      </c>
      <c r="E85" s="13"/>
      <c r="F85" s="13"/>
      <c r="G85" s="13"/>
      <c r="H85" s="13"/>
      <c r="I85" s="13"/>
      <c r="J85" s="13"/>
      <c r="K85" s="13"/>
      <c r="L85" s="1"/>
    </row>
    <row r="86" spans="1:12" x14ac:dyDescent="0.25">
      <c r="A86" s="4" t="s">
        <v>126</v>
      </c>
      <c r="B86" s="4" t="s">
        <v>127</v>
      </c>
      <c r="C86" s="2">
        <f t="shared" si="32"/>
        <v>0</v>
      </c>
      <c r="D86" s="13"/>
      <c r="E86" s="13"/>
      <c r="F86" s="13"/>
      <c r="G86" s="13"/>
      <c r="H86" s="13"/>
      <c r="I86" s="13"/>
      <c r="J86" s="13"/>
      <c r="K86" s="13"/>
      <c r="L86" s="1"/>
    </row>
    <row r="87" spans="1:12" x14ac:dyDescent="0.25">
      <c r="A87" s="4" t="s">
        <v>128</v>
      </c>
      <c r="B87" s="4" t="s">
        <v>129</v>
      </c>
      <c r="C87" s="2">
        <f t="shared" si="32"/>
        <v>0</v>
      </c>
      <c r="D87" s="13"/>
      <c r="E87" s="13"/>
      <c r="F87" s="13"/>
      <c r="G87" s="13"/>
      <c r="H87" s="13"/>
      <c r="I87" s="13"/>
      <c r="J87" s="13"/>
      <c r="K87" s="13"/>
      <c r="L87" s="1"/>
    </row>
    <row r="88" spans="1:12" x14ac:dyDescent="0.25">
      <c r="A88" s="4" t="s">
        <v>130</v>
      </c>
      <c r="B88" s="4" t="s">
        <v>131</v>
      </c>
      <c r="C88" s="2">
        <f t="shared" si="32"/>
        <v>0</v>
      </c>
      <c r="D88" s="13"/>
      <c r="E88" s="13"/>
      <c r="F88" s="13"/>
      <c r="G88" s="13"/>
      <c r="H88" s="13"/>
      <c r="I88" s="13"/>
      <c r="J88" s="13"/>
      <c r="K88" s="13"/>
      <c r="L88" s="1"/>
    </row>
    <row r="89" spans="1:12" x14ac:dyDescent="0.25">
      <c r="A89" s="4" t="s">
        <v>132</v>
      </c>
      <c r="B89" s="4" t="s">
        <v>133</v>
      </c>
      <c r="C89" s="2">
        <f t="shared" si="32"/>
        <v>-45489758.900000006</v>
      </c>
      <c r="D89" s="2">
        <v>-6591351.7000000002</v>
      </c>
      <c r="E89" s="2">
        <v>-14635616.960000001</v>
      </c>
      <c r="F89" s="2">
        <v>-2209816.83</v>
      </c>
      <c r="G89" s="2">
        <v>-5677559.3200000003</v>
      </c>
      <c r="H89" s="2">
        <v>-5172349.4800000004</v>
      </c>
      <c r="I89" s="2">
        <v>-5675078.2400000002</v>
      </c>
      <c r="J89" s="2">
        <v>-5527986.3700000001</v>
      </c>
      <c r="K89" s="13"/>
      <c r="L89" s="1"/>
    </row>
    <row r="90" spans="1:12" x14ac:dyDescent="0.25">
      <c r="A90" s="4" t="s">
        <v>134</v>
      </c>
      <c r="B90" s="4" t="s">
        <v>135</v>
      </c>
      <c r="C90" s="2">
        <f t="shared" si="32"/>
        <v>0</v>
      </c>
      <c r="D90" s="13"/>
      <c r="E90" s="13"/>
      <c r="F90" s="13"/>
      <c r="G90" s="13"/>
      <c r="H90" s="13"/>
      <c r="I90" s="13"/>
      <c r="J90" s="13"/>
      <c r="K90" s="13"/>
      <c r="L90" s="1"/>
    </row>
    <row r="91" spans="1:12" x14ac:dyDescent="0.25">
      <c r="A91" s="4" t="s">
        <v>136</v>
      </c>
      <c r="B91" s="4" t="s">
        <v>137</v>
      </c>
      <c r="C91" s="2">
        <f t="shared" si="32"/>
        <v>0</v>
      </c>
      <c r="D91" s="13"/>
      <c r="E91" s="13"/>
      <c r="F91" s="13"/>
      <c r="G91" s="13"/>
      <c r="H91" s="13"/>
      <c r="I91" s="13"/>
      <c r="J91" s="13"/>
      <c r="K91" s="13"/>
      <c r="L91" s="1"/>
    </row>
    <row r="92" spans="1:12" x14ac:dyDescent="0.25">
      <c r="A92" s="4" t="s">
        <v>138</v>
      </c>
      <c r="B92" s="4" t="s">
        <v>139</v>
      </c>
      <c r="C92" s="2">
        <f t="shared" si="32"/>
        <v>0</v>
      </c>
      <c r="D92" s="13"/>
      <c r="E92" s="13"/>
      <c r="F92" s="13"/>
      <c r="G92" s="13"/>
      <c r="H92" s="13"/>
      <c r="I92" s="13"/>
      <c r="J92" s="13"/>
      <c r="K92" s="13"/>
      <c r="L92" s="1"/>
    </row>
    <row r="93" spans="1:12" x14ac:dyDescent="0.25">
      <c r="A93" s="4" t="s">
        <v>140</v>
      </c>
      <c r="B93" s="4" t="s">
        <v>141</v>
      </c>
      <c r="C93" s="2">
        <f t="shared" si="32"/>
        <v>0</v>
      </c>
      <c r="D93" s="13"/>
      <c r="E93" s="13"/>
      <c r="F93" s="13"/>
      <c r="G93" s="13"/>
      <c r="H93" s="13"/>
      <c r="I93" s="13"/>
      <c r="J93" s="13"/>
      <c r="K93" s="13"/>
      <c r="L93" s="1"/>
    </row>
    <row r="94" spans="1:12" x14ac:dyDescent="0.25">
      <c r="A94" s="4" t="s">
        <v>142</v>
      </c>
      <c r="B94" s="4" t="s">
        <v>143</v>
      </c>
      <c r="C94" s="2">
        <f t="shared" si="32"/>
        <v>0</v>
      </c>
      <c r="D94" s="13"/>
      <c r="E94" s="13"/>
      <c r="F94" s="13"/>
      <c r="G94" s="13"/>
      <c r="H94" s="13"/>
      <c r="I94" s="13"/>
      <c r="J94" s="13"/>
      <c r="K94" s="13"/>
      <c r="L94" s="1"/>
    </row>
    <row r="95" spans="1:12" x14ac:dyDescent="0.25">
      <c r="A95" s="4" t="s">
        <v>144</v>
      </c>
      <c r="B95" s="4" t="s">
        <v>145</v>
      </c>
      <c r="C95" s="2">
        <f t="shared" si="32"/>
        <v>0</v>
      </c>
      <c r="D95" s="13"/>
      <c r="E95" s="13"/>
      <c r="F95" s="13"/>
      <c r="G95" s="13"/>
      <c r="H95" s="13"/>
      <c r="I95" s="13"/>
      <c r="J95" s="13"/>
      <c r="K95" s="13"/>
      <c r="L95" s="1"/>
    </row>
    <row r="96" spans="1:12" x14ac:dyDescent="0.25">
      <c r="A96" s="4" t="s">
        <v>146</v>
      </c>
      <c r="B96" s="4" t="s">
        <v>147</v>
      </c>
      <c r="C96" s="2">
        <f t="shared" si="32"/>
        <v>0</v>
      </c>
      <c r="D96" s="13"/>
      <c r="E96" s="13"/>
      <c r="F96" s="13"/>
      <c r="G96" s="13"/>
      <c r="H96" s="13"/>
      <c r="I96" s="13"/>
      <c r="J96" s="13"/>
      <c r="K96" s="13"/>
      <c r="L96" s="1"/>
    </row>
    <row r="97" spans="1:12" x14ac:dyDescent="0.25">
      <c r="A97" s="4" t="s">
        <v>148</v>
      </c>
      <c r="B97" s="4" t="s">
        <v>149</v>
      </c>
      <c r="C97" s="2">
        <f t="shared" si="32"/>
        <v>0</v>
      </c>
      <c r="D97" s="13"/>
      <c r="E97" s="13"/>
      <c r="F97" s="13"/>
      <c r="G97" s="13"/>
      <c r="H97" s="13"/>
      <c r="I97" s="13"/>
      <c r="J97" s="13"/>
      <c r="K97" s="13"/>
      <c r="L97" s="1"/>
    </row>
    <row r="98" spans="1:12" x14ac:dyDescent="0.25">
      <c r="A98" s="4" t="s">
        <v>150</v>
      </c>
      <c r="B98" s="4" t="s">
        <v>151</v>
      </c>
      <c r="C98" s="2">
        <f t="shared" si="32"/>
        <v>0</v>
      </c>
      <c r="D98" s="13"/>
      <c r="E98" s="13"/>
      <c r="F98" s="13"/>
      <c r="G98" s="13"/>
      <c r="H98" s="13"/>
      <c r="I98" s="13"/>
      <c r="J98" s="13"/>
      <c r="K98" s="13"/>
      <c r="L98" s="1"/>
    </row>
    <row r="99" spans="1:12" x14ac:dyDescent="0.25">
      <c r="A99" s="4" t="s">
        <v>152</v>
      </c>
      <c r="B99" s="4" t="s">
        <v>153</v>
      </c>
      <c r="C99" s="2">
        <f t="shared" si="32"/>
        <v>0</v>
      </c>
      <c r="D99" s="13"/>
      <c r="E99" s="13"/>
      <c r="F99" s="13"/>
      <c r="G99" s="13"/>
      <c r="H99" s="13"/>
      <c r="I99" s="13"/>
      <c r="J99" s="13"/>
      <c r="K99" s="13"/>
      <c r="L99" s="1"/>
    </row>
    <row r="100" spans="1:12" x14ac:dyDescent="0.25">
      <c r="A100" s="4" t="s">
        <v>154</v>
      </c>
      <c r="B100" s="4" t="s">
        <v>155</v>
      </c>
      <c r="C100" s="2">
        <f t="shared" si="32"/>
        <v>0</v>
      </c>
      <c r="D100" s="13"/>
      <c r="E100" s="13"/>
      <c r="F100" s="13"/>
      <c r="G100" s="13"/>
      <c r="H100" s="13"/>
      <c r="I100" s="13"/>
      <c r="J100" s="13"/>
      <c r="K100" s="13"/>
      <c r="L100" s="1"/>
    </row>
    <row r="101" spans="1:12" x14ac:dyDescent="0.25">
      <c r="A101" s="4" t="s">
        <v>156</v>
      </c>
      <c r="B101" s="4" t="s">
        <v>157</v>
      </c>
      <c r="C101" s="2">
        <f t="shared" si="32"/>
        <v>-80000</v>
      </c>
      <c r="D101" s="2">
        <v>-80000</v>
      </c>
      <c r="E101" s="13"/>
      <c r="F101" s="13"/>
      <c r="G101" s="13"/>
      <c r="H101" s="13"/>
      <c r="I101" s="13"/>
      <c r="J101" s="13"/>
      <c r="K101" s="13"/>
      <c r="L101" s="1"/>
    </row>
    <row r="102" spans="1:12" x14ac:dyDescent="0.25">
      <c r="A102" s="4" t="s">
        <v>158</v>
      </c>
      <c r="B102" s="4" t="s">
        <v>159</v>
      </c>
      <c r="C102" s="2">
        <f t="shared" si="32"/>
        <v>-200000</v>
      </c>
      <c r="D102" s="2">
        <v>-100000</v>
      </c>
      <c r="E102" s="2">
        <v>-100000</v>
      </c>
      <c r="F102" s="13"/>
      <c r="G102" s="13"/>
      <c r="H102" s="13"/>
      <c r="I102" s="13"/>
      <c r="J102" s="13"/>
      <c r="K102" s="13"/>
      <c r="L102" s="1"/>
    </row>
    <row r="103" spans="1:12" x14ac:dyDescent="0.25">
      <c r="A103" s="4" t="s">
        <v>160</v>
      </c>
      <c r="B103" s="4" t="s">
        <v>161</v>
      </c>
      <c r="C103" s="2">
        <f t="shared" si="32"/>
        <v>0</v>
      </c>
      <c r="D103" s="13"/>
      <c r="E103" s="13"/>
      <c r="F103" s="13"/>
      <c r="G103" s="13"/>
      <c r="H103" s="13"/>
      <c r="I103" s="13"/>
      <c r="J103" s="13"/>
      <c r="K103" s="13"/>
      <c r="L103" s="1"/>
    </row>
    <row r="104" spans="1:12" x14ac:dyDescent="0.25">
      <c r="A104" s="4" t="s">
        <v>162</v>
      </c>
      <c r="B104" s="4" t="s">
        <v>163</v>
      </c>
      <c r="C104" s="2">
        <f t="shared" si="32"/>
        <v>0</v>
      </c>
      <c r="D104" s="13"/>
      <c r="E104" s="13"/>
      <c r="F104" s="13"/>
      <c r="G104" s="13"/>
      <c r="H104" s="13"/>
      <c r="I104" s="13"/>
      <c r="J104" s="13"/>
      <c r="K104" s="13"/>
      <c r="L104" s="1"/>
    </row>
    <row r="105" spans="1:12" x14ac:dyDescent="0.25">
      <c r="A105" s="4" t="s">
        <v>164</v>
      </c>
      <c r="B105" s="4" t="s">
        <v>165</v>
      </c>
      <c r="C105" s="2">
        <f t="shared" si="32"/>
        <v>0</v>
      </c>
      <c r="D105" s="13"/>
      <c r="E105" s="13"/>
      <c r="F105" s="13"/>
      <c r="G105" s="13"/>
      <c r="H105" s="13"/>
      <c r="I105" s="13"/>
      <c r="J105" s="13"/>
      <c r="K105" s="13"/>
      <c r="L105" s="1"/>
    </row>
    <row r="106" spans="1:12" x14ac:dyDescent="0.25">
      <c r="A106" s="5" t="s">
        <v>166</v>
      </c>
      <c r="B106" s="5" t="s">
        <v>167</v>
      </c>
      <c r="C106" s="16">
        <f>SUM(C84:C105)</f>
        <v>-46629758.900000006</v>
      </c>
      <c r="D106" s="16">
        <f t="shared" ref="D106:K106" si="33">SUM(D84:D105)</f>
        <v>-7631351.7000000002</v>
      </c>
      <c r="E106" s="16">
        <f t="shared" si="33"/>
        <v>-14735616.960000001</v>
      </c>
      <c r="F106" s="16">
        <f t="shared" si="33"/>
        <v>-2209816.83</v>
      </c>
      <c r="G106" s="16">
        <f t="shared" si="33"/>
        <v>-5677559.3200000003</v>
      </c>
      <c r="H106" s="16">
        <f t="shared" si="33"/>
        <v>-5172349.4800000004</v>
      </c>
      <c r="I106" s="16">
        <f t="shared" si="33"/>
        <v>-5675078.2400000002</v>
      </c>
      <c r="J106" s="16">
        <f t="shared" si="33"/>
        <v>-5527986.3700000001</v>
      </c>
      <c r="K106" s="16">
        <f t="shared" si="33"/>
        <v>0</v>
      </c>
      <c r="L106" s="1"/>
    </row>
    <row r="107" spans="1:12" x14ac:dyDescent="0.25">
      <c r="A107" s="4" t="s">
        <v>7</v>
      </c>
      <c r="B107" s="4" t="s">
        <v>7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"/>
    </row>
    <row r="108" spans="1:12" x14ac:dyDescent="0.25">
      <c r="A108" s="5" t="s">
        <v>168</v>
      </c>
      <c r="B108" s="5" t="s">
        <v>169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"/>
    </row>
    <row r="109" spans="1:12" x14ac:dyDescent="0.25">
      <c r="A109" s="4" t="s">
        <v>170</v>
      </c>
      <c r="B109" s="4" t="s">
        <v>169</v>
      </c>
      <c r="C109" s="2">
        <f t="shared" ref="C109" si="34">SUM(D109:K109)</f>
        <v>-9275279.3300000001</v>
      </c>
      <c r="D109" s="2">
        <v>-1378843.83</v>
      </c>
      <c r="E109" s="2">
        <v>-2974248.42</v>
      </c>
      <c r="F109" s="2">
        <v>-462271.24</v>
      </c>
      <c r="G109" s="2">
        <v>-1155085.5</v>
      </c>
      <c r="H109" s="2">
        <v>-1002924.34</v>
      </c>
      <c r="I109" s="2">
        <v>-1145872.56</v>
      </c>
      <c r="J109" s="2">
        <v>-1156033.44</v>
      </c>
      <c r="K109" s="13"/>
      <c r="L109" s="1"/>
    </row>
    <row r="110" spans="1:12" x14ac:dyDescent="0.25">
      <c r="A110" s="4" t="s">
        <v>171</v>
      </c>
      <c r="B110" s="4" t="s">
        <v>172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"/>
    </row>
    <row r="111" spans="1:12" x14ac:dyDescent="0.25">
      <c r="A111" s="5" t="s">
        <v>173</v>
      </c>
      <c r="B111" s="5" t="s">
        <v>174</v>
      </c>
      <c r="C111" s="16">
        <f>C109+C110</f>
        <v>-9275279.3300000001</v>
      </c>
      <c r="D111" s="16">
        <f t="shared" ref="D111:K111" si="35">D109+D110</f>
        <v>-1378843.83</v>
      </c>
      <c r="E111" s="16">
        <f t="shared" si="35"/>
        <v>-2974248.42</v>
      </c>
      <c r="F111" s="16">
        <f t="shared" si="35"/>
        <v>-462271.24</v>
      </c>
      <c r="G111" s="16">
        <f t="shared" si="35"/>
        <v>-1155085.5</v>
      </c>
      <c r="H111" s="16">
        <f t="shared" si="35"/>
        <v>-1002924.34</v>
      </c>
      <c r="I111" s="16">
        <f t="shared" si="35"/>
        <v>-1145872.56</v>
      </c>
      <c r="J111" s="16">
        <f t="shared" si="35"/>
        <v>-1156033.44</v>
      </c>
      <c r="K111" s="16">
        <f t="shared" si="35"/>
        <v>0</v>
      </c>
      <c r="L111" s="1"/>
    </row>
    <row r="112" spans="1:12" x14ac:dyDescent="0.25">
      <c r="A112" s="4" t="s">
        <v>7</v>
      </c>
      <c r="B112" s="4" t="s">
        <v>7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"/>
    </row>
    <row r="113" spans="1:12" x14ac:dyDescent="0.25">
      <c r="A113" s="5" t="s">
        <v>175</v>
      </c>
      <c r="B113" s="5" t="s">
        <v>176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"/>
    </row>
    <row r="114" spans="1:12" x14ac:dyDescent="0.25">
      <c r="A114" s="4" t="s">
        <v>177</v>
      </c>
      <c r="B114" s="4" t="s">
        <v>178</v>
      </c>
      <c r="C114" s="2">
        <f t="shared" ref="C114:C120" si="36">SUM(D114:K114)</f>
        <v>8092420.9000000004</v>
      </c>
      <c r="D114" s="2">
        <v>3098706.42</v>
      </c>
      <c r="E114" s="2">
        <v>2736110.95</v>
      </c>
      <c r="F114" s="18">
        <v>557317.18999999994</v>
      </c>
      <c r="G114" s="2">
        <v>967146.36</v>
      </c>
      <c r="H114" s="2">
        <v>340291.56</v>
      </c>
      <c r="I114" s="2">
        <v>364596.42</v>
      </c>
      <c r="J114" s="2">
        <v>28252</v>
      </c>
      <c r="K114" s="13"/>
      <c r="L114" s="1"/>
    </row>
    <row r="115" spans="1:12" x14ac:dyDescent="0.25">
      <c r="A115" s="4" t="s">
        <v>179</v>
      </c>
      <c r="B115" s="4" t="s">
        <v>180</v>
      </c>
      <c r="C115" s="2">
        <f t="shared" si="36"/>
        <v>0</v>
      </c>
      <c r="D115" s="13"/>
      <c r="E115" s="13"/>
      <c r="F115" s="18"/>
      <c r="G115" s="13"/>
      <c r="H115" s="13"/>
      <c r="I115" s="13"/>
      <c r="J115" s="13"/>
      <c r="K115" s="13"/>
      <c r="L115" s="1"/>
    </row>
    <row r="116" spans="1:12" x14ac:dyDescent="0.25">
      <c r="A116" s="4" t="s">
        <v>181</v>
      </c>
      <c r="B116" s="4" t="s">
        <v>182</v>
      </c>
      <c r="C116" s="2">
        <f t="shared" si="36"/>
        <v>0</v>
      </c>
      <c r="D116" s="13"/>
      <c r="E116" s="13"/>
      <c r="F116" s="13"/>
      <c r="G116" s="13"/>
      <c r="H116" s="13"/>
      <c r="I116" s="13"/>
      <c r="J116" s="13"/>
      <c r="K116" s="13"/>
      <c r="L116" s="1"/>
    </row>
    <row r="117" spans="1:12" x14ac:dyDescent="0.25">
      <c r="A117" s="4" t="s">
        <v>183</v>
      </c>
      <c r="B117" s="4" t="s">
        <v>184</v>
      </c>
      <c r="C117" s="2">
        <f t="shared" si="36"/>
        <v>131264.16</v>
      </c>
      <c r="D117" s="2">
        <v>5757.21</v>
      </c>
      <c r="E117" s="2">
        <v>27189.23</v>
      </c>
      <c r="F117" s="13"/>
      <c r="G117" s="13"/>
      <c r="H117" s="13"/>
      <c r="I117" s="13"/>
      <c r="J117" s="2">
        <v>98317.72</v>
      </c>
      <c r="K117" s="13"/>
      <c r="L117" s="1"/>
    </row>
    <row r="118" spans="1:12" x14ac:dyDescent="0.25">
      <c r="A118" s="4" t="s">
        <v>185</v>
      </c>
      <c r="B118" s="4" t="s">
        <v>186</v>
      </c>
      <c r="C118" s="2">
        <f t="shared" si="36"/>
        <v>0</v>
      </c>
      <c r="D118" s="13"/>
      <c r="E118" s="13"/>
      <c r="F118" s="13"/>
      <c r="G118" s="13"/>
      <c r="H118" s="13"/>
      <c r="I118" s="13"/>
      <c r="J118" s="13"/>
      <c r="K118" s="13"/>
      <c r="L118" s="1"/>
    </row>
    <row r="119" spans="1:12" x14ac:dyDescent="0.25">
      <c r="A119" s="4" t="s">
        <v>187</v>
      </c>
      <c r="B119" s="4" t="s">
        <v>188</v>
      </c>
      <c r="C119" s="2">
        <f t="shared" si="36"/>
        <v>198033.31</v>
      </c>
      <c r="D119" s="2">
        <v>93993.31</v>
      </c>
      <c r="E119" s="13"/>
      <c r="F119" s="2">
        <v>104040</v>
      </c>
      <c r="G119" s="13"/>
      <c r="H119" s="13"/>
      <c r="I119" s="13"/>
      <c r="J119" s="13"/>
      <c r="K119" s="13"/>
      <c r="L119" s="1"/>
    </row>
    <row r="120" spans="1:12" x14ac:dyDescent="0.25">
      <c r="A120" s="4" t="s">
        <v>189</v>
      </c>
      <c r="B120" s="4" t="s">
        <v>190</v>
      </c>
      <c r="C120" s="2">
        <f t="shared" si="36"/>
        <v>122575.45</v>
      </c>
      <c r="D120" s="13"/>
      <c r="E120" s="2">
        <v>122575.45</v>
      </c>
      <c r="F120" s="13"/>
      <c r="G120" s="13"/>
      <c r="H120" s="13"/>
      <c r="I120" s="13"/>
      <c r="J120" s="13"/>
      <c r="K120" s="13"/>
      <c r="L120" s="1"/>
    </row>
    <row r="121" spans="1:12" x14ac:dyDescent="0.25">
      <c r="A121" s="5" t="s">
        <v>191</v>
      </c>
      <c r="B121" s="5" t="s">
        <v>192</v>
      </c>
      <c r="C121" s="16">
        <f>SUM(C114:C120)</f>
        <v>8544293.8200000003</v>
      </c>
      <c r="D121" s="16">
        <f t="shared" ref="D121:K121" si="37">SUM(D114:D120)</f>
        <v>3198456.94</v>
      </c>
      <c r="E121" s="16">
        <f t="shared" si="37"/>
        <v>2885875.6300000004</v>
      </c>
      <c r="F121" s="16">
        <f t="shared" si="37"/>
        <v>661357.18999999994</v>
      </c>
      <c r="G121" s="16">
        <f t="shared" si="37"/>
        <v>967146.36</v>
      </c>
      <c r="H121" s="16">
        <f t="shared" si="37"/>
        <v>340291.56</v>
      </c>
      <c r="I121" s="16">
        <f t="shared" si="37"/>
        <v>364596.42</v>
      </c>
      <c r="J121" s="16">
        <f t="shared" si="37"/>
        <v>126569.72</v>
      </c>
      <c r="K121" s="16">
        <f t="shared" si="37"/>
        <v>0</v>
      </c>
      <c r="L121" s="1"/>
    </row>
    <row r="122" spans="1:12" x14ac:dyDescent="0.25">
      <c r="A122" s="5" t="s">
        <v>193</v>
      </c>
      <c r="B122" s="5" t="s">
        <v>194</v>
      </c>
      <c r="C122" s="16">
        <f>C106+C111+C121</f>
        <v>-47360744.410000004</v>
      </c>
      <c r="D122" s="16">
        <f t="shared" ref="D122:K122" si="38">D106+D111+D121</f>
        <v>-5811738.5900000017</v>
      </c>
      <c r="E122" s="16">
        <f t="shared" si="38"/>
        <v>-14823989.750000002</v>
      </c>
      <c r="F122" s="16">
        <f t="shared" si="38"/>
        <v>-2010730.8800000004</v>
      </c>
      <c r="G122" s="16">
        <f t="shared" si="38"/>
        <v>-5865498.46</v>
      </c>
      <c r="H122" s="16">
        <f t="shared" si="38"/>
        <v>-5834982.2600000007</v>
      </c>
      <c r="I122" s="16">
        <f t="shared" si="38"/>
        <v>-6456354.3800000008</v>
      </c>
      <c r="J122" s="16">
        <f t="shared" si="38"/>
        <v>-6557450.0900000008</v>
      </c>
      <c r="K122" s="16">
        <f t="shared" si="38"/>
        <v>0</v>
      </c>
      <c r="L122" s="1"/>
    </row>
    <row r="123" spans="1:12" x14ac:dyDescent="0.25">
      <c r="A123" s="4" t="s">
        <v>7</v>
      </c>
      <c r="B123" s="4" t="s">
        <v>7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"/>
    </row>
    <row r="124" spans="1:12" x14ac:dyDescent="0.25">
      <c r="A124" s="5" t="s">
        <v>195</v>
      </c>
      <c r="B124" s="5" t="s">
        <v>196</v>
      </c>
      <c r="C124" s="16">
        <f>C122+C81+C76+C69</f>
        <v>-47510856.220000006</v>
      </c>
      <c r="D124" s="16">
        <f t="shared" ref="D124:K124" si="39">D122+D81+D76+D69</f>
        <v>-5811738.5900000017</v>
      </c>
      <c r="E124" s="16">
        <f t="shared" si="39"/>
        <v>-14830989.750000002</v>
      </c>
      <c r="F124" s="16">
        <f t="shared" si="39"/>
        <v>-2016276.7500000005</v>
      </c>
      <c r="G124" s="16">
        <f t="shared" si="39"/>
        <v>-5901498.46</v>
      </c>
      <c r="H124" s="16">
        <f t="shared" si="39"/>
        <v>-5848099.2600000007</v>
      </c>
      <c r="I124" s="16">
        <f t="shared" si="39"/>
        <v>-6456354.3800000008</v>
      </c>
      <c r="J124" s="16">
        <f t="shared" si="39"/>
        <v>-6645899.0300000012</v>
      </c>
      <c r="K124" s="16">
        <f t="shared" si="39"/>
        <v>0</v>
      </c>
      <c r="L124" s="1"/>
    </row>
    <row r="125" spans="1:12" x14ac:dyDescent="0.25">
      <c r="A125" s="4" t="s">
        <v>7</v>
      </c>
      <c r="B125" s="4" t="s">
        <v>7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"/>
    </row>
    <row r="126" spans="1:12" x14ac:dyDescent="0.25">
      <c r="A126" s="5" t="s">
        <v>197</v>
      </c>
      <c r="B126" s="5" t="s">
        <v>198</v>
      </c>
      <c r="C126" s="16">
        <f>C64+C124</f>
        <v>26375188.369999997</v>
      </c>
      <c r="D126" s="16">
        <f t="shared" ref="D126:K126" si="40">D64+D124</f>
        <v>-3584888.5900000017</v>
      </c>
      <c r="E126" s="16">
        <f t="shared" si="40"/>
        <v>6553440.7799999993</v>
      </c>
      <c r="F126" s="16">
        <f t="shared" si="40"/>
        <v>1431157.2499999995</v>
      </c>
      <c r="G126" s="16">
        <f t="shared" si="40"/>
        <v>2741547.54</v>
      </c>
      <c r="H126" s="16">
        <f t="shared" si="40"/>
        <v>1696965.7399999993</v>
      </c>
      <c r="I126" s="16">
        <f t="shared" si="40"/>
        <v>4172518.1199999992</v>
      </c>
      <c r="J126" s="16">
        <f t="shared" si="40"/>
        <v>3012362.5299999993</v>
      </c>
      <c r="K126" s="16">
        <f t="shared" si="40"/>
        <v>10352085</v>
      </c>
      <c r="L126" s="1"/>
    </row>
    <row r="127" spans="1:12" x14ac:dyDescent="0.25">
      <c r="A127" s="4" t="s">
        <v>7</v>
      </c>
      <c r="B127" s="4" t="s">
        <v>7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"/>
    </row>
    <row r="128" spans="1:12" x14ac:dyDescent="0.25">
      <c r="A128" s="5" t="s">
        <v>199</v>
      </c>
      <c r="B128" s="5" t="s">
        <v>200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"/>
    </row>
    <row r="129" spans="1:12" x14ac:dyDescent="0.25">
      <c r="A129" s="4" t="s">
        <v>201</v>
      </c>
      <c r="B129" s="4" t="s">
        <v>202</v>
      </c>
      <c r="C129" s="2">
        <f t="shared" ref="C129:C134" si="41">SUM(D129:K129)</f>
        <v>447998.30999999994</v>
      </c>
      <c r="D129" s="2">
        <v>42639.97</v>
      </c>
      <c r="E129" s="2">
        <v>115000</v>
      </c>
      <c r="F129" s="13"/>
      <c r="G129" s="2">
        <v>116100</v>
      </c>
      <c r="H129" s="2">
        <v>25225</v>
      </c>
      <c r="I129" s="2">
        <v>45405</v>
      </c>
      <c r="J129" s="2">
        <v>103628.34</v>
      </c>
      <c r="K129" s="13"/>
      <c r="L129" s="1"/>
    </row>
    <row r="130" spans="1:12" x14ac:dyDescent="0.25">
      <c r="A130" s="4" t="s">
        <v>203</v>
      </c>
      <c r="B130" s="4" t="s">
        <v>204</v>
      </c>
      <c r="C130" s="2">
        <f t="shared" si="41"/>
        <v>70436.92</v>
      </c>
      <c r="D130" s="13"/>
      <c r="E130" s="2">
        <v>60000</v>
      </c>
      <c r="F130" s="13"/>
      <c r="G130" s="13"/>
      <c r="H130" s="13"/>
      <c r="I130" s="2">
        <v>7567.5</v>
      </c>
      <c r="J130" s="2">
        <v>2869.42</v>
      </c>
      <c r="K130" s="13"/>
      <c r="L130" s="1"/>
    </row>
    <row r="131" spans="1:12" x14ac:dyDescent="0.25">
      <c r="A131" s="4" t="s">
        <v>205</v>
      </c>
      <c r="B131" s="4" t="s">
        <v>206</v>
      </c>
      <c r="C131" s="2">
        <f t="shared" si="41"/>
        <v>15135</v>
      </c>
      <c r="D131" s="13"/>
      <c r="E131" s="13"/>
      <c r="F131" s="13"/>
      <c r="G131" s="13"/>
      <c r="H131" s="13"/>
      <c r="I131" s="2">
        <v>15135</v>
      </c>
      <c r="J131" s="13"/>
      <c r="K131" s="13"/>
      <c r="L131" s="1"/>
    </row>
    <row r="132" spans="1:12" x14ac:dyDescent="0.25">
      <c r="A132" s="4" t="s">
        <v>207</v>
      </c>
      <c r="B132" s="4" t="s">
        <v>208</v>
      </c>
      <c r="C132" s="2">
        <f t="shared" si="41"/>
        <v>0</v>
      </c>
      <c r="D132" s="13"/>
      <c r="E132" s="13"/>
      <c r="F132" s="13"/>
      <c r="G132" s="13"/>
      <c r="H132" s="13"/>
      <c r="I132" s="13"/>
      <c r="J132" s="13"/>
      <c r="K132" s="13"/>
      <c r="L132" s="1"/>
    </row>
    <row r="133" spans="1:12" x14ac:dyDescent="0.25">
      <c r="A133" s="4" t="s">
        <v>209</v>
      </c>
      <c r="B133" s="4" t="s">
        <v>210</v>
      </c>
      <c r="C133" s="2">
        <f t="shared" si="41"/>
        <v>0</v>
      </c>
      <c r="D133" s="13"/>
      <c r="E133" s="13"/>
      <c r="F133" s="13"/>
      <c r="G133" s="13"/>
      <c r="H133" s="13"/>
      <c r="I133" s="13"/>
      <c r="J133" s="13"/>
      <c r="K133" s="13"/>
      <c r="L133" s="1"/>
    </row>
    <row r="134" spans="1:12" x14ac:dyDescent="0.25">
      <c r="A134" s="4" t="s">
        <v>211</v>
      </c>
      <c r="B134" s="4" t="s">
        <v>212</v>
      </c>
      <c r="C134" s="2">
        <f t="shared" si="41"/>
        <v>0</v>
      </c>
      <c r="D134" s="13"/>
      <c r="E134" s="13"/>
      <c r="F134" s="13"/>
      <c r="G134" s="13"/>
      <c r="H134" s="13"/>
      <c r="I134" s="13"/>
      <c r="J134" s="13"/>
      <c r="K134" s="13"/>
      <c r="L134" s="1"/>
    </row>
    <row r="135" spans="1:12" x14ac:dyDescent="0.25">
      <c r="A135" s="5" t="s">
        <v>213</v>
      </c>
      <c r="B135" s="5" t="s">
        <v>214</v>
      </c>
      <c r="C135" s="16">
        <f>SUM(C129:C134)</f>
        <v>533570.23</v>
      </c>
      <c r="D135" s="16">
        <f t="shared" ref="D135:K135" si="42">SUM(D129:D134)</f>
        <v>42639.97</v>
      </c>
      <c r="E135" s="16">
        <f t="shared" si="42"/>
        <v>175000</v>
      </c>
      <c r="F135" s="16">
        <f t="shared" si="42"/>
        <v>0</v>
      </c>
      <c r="G135" s="16">
        <f t="shared" si="42"/>
        <v>116100</v>
      </c>
      <c r="H135" s="16">
        <f t="shared" si="42"/>
        <v>25225</v>
      </c>
      <c r="I135" s="16">
        <f t="shared" si="42"/>
        <v>68107.5</v>
      </c>
      <c r="J135" s="16">
        <f t="shared" si="42"/>
        <v>106497.76</v>
      </c>
      <c r="K135" s="16">
        <f t="shared" si="42"/>
        <v>0</v>
      </c>
      <c r="L135" s="1"/>
    </row>
    <row r="136" spans="1:12" x14ac:dyDescent="0.25">
      <c r="A136" s="4" t="s">
        <v>7</v>
      </c>
      <c r="B136" s="4" t="s">
        <v>7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"/>
    </row>
    <row r="137" spans="1:12" x14ac:dyDescent="0.25">
      <c r="A137" s="5" t="s">
        <v>215</v>
      </c>
      <c r="B137" s="5" t="s">
        <v>216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"/>
    </row>
    <row r="138" spans="1:12" x14ac:dyDescent="0.25">
      <c r="A138" s="4" t="s">
        <v>217</v>
      </c>
      <c r="B138" s="4" t="s">
        <v>218</v>
      </c>
      <c r="C138" s="2">
        <f t="shared" ref="C138:C196" si="43">SUM(D138:K138)</f>
        <v>-2000000</v>
      </c>
      <c r="D138" s="2">
        <v>-2000000</v>
      </c>
      <c r="E138" s="13"/>
      <c r="F138" s="13"/>
      <c r="G138" s="13"/>
      <c r="H138" s="13"/>
      <c r="I138" s="13"/>
      <c r="J138" s="13"/>
      <c r="K138" s="13"/>
      <c r="L138" s="1"/>
    </row>
    <row r="139" spans="1:12" x14ac:dyDescent="0.25">
      <c r="A139" s="4" t="s">
        <v>219</v>
      </c>
      <c r="B139" s="4" t="s">
        <v>220</v>
      </c>
      <c r="C139" s="2">
        <f t="shared" si="43"/>
        <v>0</v>
      </c>
      <c r="D139" s="13"/>
      <c r="E139" s="13"/>
      <c r="F139" s="13"/>
      <c r="G139" s="13"/>
      <c r="H139" s="13"/>
      <c r="I139" s="13"/>
      <c r="J139" s="13"/>
      <c r="K139" s="13"/>
      <c r="L139" s="1"/>
    </row>
    <row r="140" spans="1:12" x14ac:dyDescent="0.25">
      <c r="A140" s="4" t="s">
        <v>221</v>
      </c>
      <c r="B140" s="4" t="s">
        <v>222</v>
      </c>
      <c r="C140" s="2">
        <f t="shared" si="43"/>
        <v>-15880826.490000002</v>
      </c>
      <c r="D140" s="13"/>
      <c r="E140" s="2">
        <f>-D141*0.3822</f>
        <v>-6069651.884478</v>
      </c>
      <c r="F140" s="2">
        <f>D141*-1*0.0045</f>
        <v>-71463.719205000001</v>
      </c>
      <c r="G140" s="2">
        <f>D141*-0.1288</f>
        <v>-2045450.4519120001</v>
      </c>
      <c r="H140" s="2">
        <f>D141*-0.1222</f>
        <v>-1940636.9970780001</v>
      </c>
      <c r="I140" s="2">
        <f>D141*-0.1956</f>
        <v>-3106289.661444</v>
      </c>
      <c r="J140" s="2">
        <f>D141*-0.1667</f>
        <v>-2647333.7758829999</v>
      </c>
      <c r="K140" s="13"/>
      <c r="L140" s="1"/>
    </row>
    <row r="141" spans="1:12" x14ac:dyDescent="0.25">
      <c r="A141" s="4" t="s">
        <v>223</v>
      </c>
      <c r="B141" s="4" t="s">
        <v>224</v>
      </c>
      <c r="C141" s="2">
        <f t="shared" si="43"/>
        <v>15880826.49</v>
      </c>
      <c r="D141" s="2">
        <v>15880826.49</v>
      </c>
      <c r="E141" s="13"/>
      <c r="F141" s="13"/>
      <c r="G141" s="13"/>
      <c r="H141" s="13"/>
      <c r="I141" s="13"/>
      <c r="J141" s="13"/>
      <c r="K141" s="13"/>
      <c r="L141" s="1"/>
    </row>
    <row r="142" spans="1:12" x14ac:dyDescent="0.25">
      <c r="A142" s="4" t="s">
        <v>225</v>
      </c>
      <c r="B142" s="4" t="s">
        <v>226</v>
      </c>
      <c r="C142" s="2">
        <f t="shared" si="43"/>
        <v>-26581</v>
      </c>
      <c r="D142" s="2">
        <v>-4036</v>
      </c>
      <c r="E142" s="2">
        <v>-12500</v>
      </c>
      <c r="F142" s="18">
        <v>-5045</v>
      </c>
      <c r="G142" s="2">
        <v>-5000</v>
      </c>
      <c r="H142" s="13"/>
      <c r="I142" s="13"/>
      <c r="J142" s="13"/>
      <c r="K142" s="13"/>
      <c r="L142" s="1"/>
    </row>
    <row r="143" spans="1:12" x14ac:dyDescent="0.25">
      <c r="A143" s="4" t="s">
        <v>227</v>
      </c>
      <c r="B143" s="4" t="s">
        <v>228</v>
      </c>
      <c r="C143" s="2">
        <f t="shared" si="43"/>
        <v>-216296</v>
      </c>
      <c r="D143" s="2">
        <v>-70630</v>
      </c>
      <c r="E143" s="2">
        <v>-46000</v>
      </c>
      <c r="F143" s="18">
        <v>-10090</v>
      </c>
      <c r="G143" s="2">
        <v>-25000</v>
      </c>
      <c r="H143" s="2">
        <v>-24216</v>
      </c>
      <c r="I143" s="2">
        <v>-15135</v>
      </c>
      <c r="J143" s="2">
        <v>-25225</v>
      </c>
      <c r="K143" s="13"/>
      <c r="L143" s="1"/>
    </row>
    <row r="144" spans="1:12" x14ac:dyDescent="0.25">
      <c r="A144" s="4" t="s">
        <v>229</v>
      </c>
      <c r="B144" s="4" t="s">
        <v>230</v>
      </c>
      <c r="C144" s="2">
        <f t="shared" si="43"/>
        <v>-25180</v>
      </c>
      <c r="D144" s="13"/>
      <c r="E144" s="2">
        <v>-5000</v>
      </c>
      <c r="F144" s="19"/>
      <c r="G144" s="2">
        <v>-5045</v>
      </c>
      <c r="H144" s="2">
        <v>-5045</v>
      </c>
      <c r="I144" s="2">
        <v>-5045</v>
      </c>
      <c r="J144" s="2">
        <v>-5045</v>
      </c>
      <c r="K144" s="13"/>
      <c r="L144" s="1"/>
    </row>
    <row r="145" spans="1:12" x14ac:dyDescent="0.25">
      <c r="A145" s="4" t="s">
        <v>231</v>
      </c>
      <c r="B145" s="4" t="s">
        <v>232</v>
      </c>
      <c r="C145" s="2">
        <f t="shared" si="43"/>
        <v>-35782.11</v>
      </c>
      <c r="D145" s="2">
        <v>-500</v>
      </c>
      <c r="E145" s="2">
        <v>-5000</v>
      </c>
      <c r="F145" s="18">
        <v>-5057.1099999999997</v>
      </c>
      <c r="G145" s="2">
        <v>-5045</v>
      </c>
      <c r="H145" s="2">
        <v>-5045</v>
      </c>
      <c r="I145" s="2">
        <v>-10090</v>
      </c>
      <c r="J145" s="2">
        <v>-5045</v>
      </c>
      <c r="K145" s="13"/>
      <c r="L145" s="1"/>
    </row>
    <row r="146" spans="1:12" x14ac:dyDescent="0.25">
      <c r="A146" s="4" t="s">
        <v>233</v>
      </c>
      <c r="B146" s="4" t="s">
        <v>234</v>
      </c>
      <c r="C146" s="2">
        <f t="shared" si="43"/>
        <v>-76540</v>
      </c>
      <c r="D146" s="2">
        <v>-25225</v>
      </c>
      <c r="E146" s="2">
        <v>-16000</v>
      </c>
      <c r="F146" s="18">
        <v>-8072</v>
      </c>
      <c r="G146" s="2">
        <v>-8072</v>
      </c>
      <c r="H146" s="2">
        <v>-5045</v>
      </c>
      <c r="I146" s="2">
        <v>-2018</v>
      </c>
      <c r="J146" s="2">
        <v>-12108</v>
      </c>
      <c r="K146" s="13"/>
      <c r="L146" s="1"/>
    </row>
    <row r="147" spans="1:12" x14ac:dyDescent="0.25">
      <c r="A147" s="4" t="s">
        <v>235</v>
      </c>
      <c r="B147" s="4" t="s">
        <v>236</v>
      </c>
      <c r="C147" s="2">
        <f t="shared" si="43"/>
        <v>0</v>
      </c>
      <c r="D147" s="13"/>
      <c r="E147" s="13"/>
      <c r="F147" s="19"/>
      <c r="G147" s="13"/>
      <c r="H147" s="13"/>
      <c r="I147" s="13"/>
      <c r="J147" s="13"/>
      <c r="K147" s="13"/>
      <c r="L147" s="1"/>
    </row>
    <row r="148" spans="1:12" x14ac:dyDescent="0.25">
      <c r="A148" s="4" t="s">
        <v>237</v>
      </c>
      <c r="B148" s="4" t="s">
        <v>238</v>
      </c>
      <c r="C148" s="2">
        <f t="shared" si="43"/>
        <v>-216935</v>
      </c>
      <c r="D148" s="2">
        <v>-156395</v>
      </c>
      <c r="E148" s="13"/>
      <c r="F148" s="18">
        <v>-50450</v>
      </c>
      <c r="G148" s="2">
        <v>-10090</v>
      </c>
      <c r="H148" s="13"/>
      <c r="I148" s="13"/>
      <c r="J148" s="13"/>
      <c r="K148" s="13"/>
      <c r="L148" s="1"/>
    </row>
    <row r="149" spans="1:12" x14ac:dyDescent="0.25">
      <c r="A149" s="4" t="s">
        <v>239</v>
      </c>
      <c r="B149" s="4" t="s">
        <v>240</v>
      </c>
      <c r="C149" s="2">
        <f t="shared" si="43"/>
        <v>-168503</v>
      </c>
      <c r="D149" s="2">
        <v>-158413</v>
      </c>
      <c r="E149" s="13"/>
      <c r="F149" s="19"/>
      <c r="G149" s="2">
        <v>-10090</v>
      </c>
      <c r="H149" s="13"/>
      <c r="I149" s="13"/>
      <c r="J149" s="13"/>
      <c r="K149" s="13"/>
      <c r="L149" s="1"/>
    </row>
    <row r="150" spans="1:12" x14ac:dyDescent="0.25">
      <c r="A150" s="4" t="s">
        <v>241</v>
      </c>
      <c r="B150" s="4" t="s">
        <v>242</v>
      </c>
      <c r="C150" s="2">
        <f t="shared" si="43"/>
        <v>-2232987.9</v>
      </c>
      <c r="D150" s="2">
        <v>-2101817.9</v>
      </c>
      <c r="E150" s="13"/>
      <c r="F150" s="18">
        <v>-131170</v>
      </c>
      <c r="G150" s="13"/>
      <c r="H150" s="13"/>
      <c r="I150" s="13"/>
      <c r="J150" s="13"/>
      <c r="K150" s="13"/>
      <c r="L150" s="1"/>
    </row>
    <row r="151" spans="1:12" x14ac:dyDescent="0.25">
      <c r="A151" s="4" t="s">
        <v>243</v>
      </c>
      <c r="B151" s="4" t="s">
        <v>244</v>
      </c>
      <c r="C151" s="2">
        <f t="shared" si="43"/>
        <v>-604950</v>
      </c>
      <c r="D151" s="2">
        <v>-554950</v>
      </c>
      <c r="E151" s="13"/>
      <c r="F151" s="18">
        <v>-50000</v>
      </c>
      <c r="G151" s="13"/>
      <c r="H151" s="13"/>
      <c r="I151" s="13"/>
      <c r="J151" s="13"/>
      <c r="K151" s="13"/>
      <c r="L151" s="1"/>
    </row>
    <row r="152" spans="1:12" x14ac:dyDescent="0.25">
      <c r="A152" s="4" t="s">
        <v>245</v>
      </c>
      <c r="B152" s="4" t="s">
        <v>246</v>
      </c>
      <c r="C152" s="2">
        <f t="shared" si="43"/>
        <v>0</v>
      </c>
      <c r="D152" s="13"/>
      <c r="E152" s="13"/>
      <c r="F152" s="19"/>
      <c r="G152" s="13"/>
      <c r="H152" s="13"/>
      <c r="I152" s="13"/>
      <c r="J152" s="13"/>
      <c r="K152" s="13"/>
      <c r="L152" s="1"/>
    </row>
    <row r="153" spans="1:12" x14ac:dyDescent="0.25">
      <c r="A153" s="4" t="s">
        <v>247</v>
      </c>
      <c r="B153" s="4" t="s">
        <v>248</v>
      </c>
      <c r="C153" s="2">
        <f t="shared" si="43"/>
        <v>-101083.20000000001</v>
      </c>
      <c r="D153" s="13"/>
      <c r="E153" s="2">
        <v>-10600</v>
      </c>
      <c r="F153" s="19"/>
      <c r="G153" s="2">
        <v>-17530.87</v>
      </c>
      <c r="H153" s="13"/>
      <c r="I153" s="2">
        <v>-414.09</v>
      </c>
      <c r="J153" s="2">
        <v>-72538.240000000005</v>
      </c>
      <c r="K153" s="13"/>
      <c r="L153" s="1"/>
    </row>
    <row r="154" spans="1:12" x14ac:dyDescent="0.25">
      <c r="A154" s="4" t="s">
        <v>249</v>
      </c>
      <c r="B154" s="4" t="s">
        <v>250</v>
      </c>
      <c r="C154" s="2">
        <f t="shared" si="43"/>
        <v>-252250</v>
      </c>
      <c r="D154" s="2">
        <v>-252250</v>
      </c>
      <c r="E154" s="13"/>
      <c r="F154" s="18"/>
      <c r="G154" s="13"/>
      <c r="H154" s="13"/>
      <c r="I154" s="13"/>
      <c r="J154" s="13"/>
      <c r="K154" s="13"/>
      <c r="L154" s="1"/>
    </row>
    <row r="155" spans="1:12" x14ac:dyDescent="0.25">
      <c r="A155" s="4" t="s">
        <v>251</v>
      </c>
      <c r="B155" s="4" t="s">
        <v>252</v>
      </c>
      <c r="C155" s="2">
        <f t="shared" si="43"/>
        <v>-52388</v>
      </c>
      <c r="D155" s="13"/>
      <c r="E155" s="2">
        <v>-20100</v>
      </c>
      <c r="F155" s="19">
        <v>-1513.5</v>
      </c>
      <c r="G155" s="2">
        <v>-7567.5</v>
      </c>
      <c r="H155" s="2">
        <v>-5549.5</v>
      </c>
      <c r="I155" s="2">
        <v>-9585.5</v>
      </c>
      <c r="J155" s="2">
        <v>-8072</v>
      </c>
      <c r="K155" s="13"/>
      <c r="L155" s="1"/>
    </row>
    <row r="156" spans="1:12" x14ac:dyDescent="0.25">
      <c r="A156" s="4" t="s">
        <v>253</v>
      </c>
      <c r="B156" s="4" t="s">
        <v>254</v>
      </c>
      <c r="C156" s="2">
        <f t="shared" si="43"/>
        <v>0</v>
      </c>
      <c r="D156" s="13"/>
      <c r="E156" s="13"/>
      <c r="F156" s="19"/>
      <c r="G156" s="13"/>
      <c r="H156" s="13"/>
      <c r="I156" s="13"/>
      <c r="J156" s="13"/>
      <c r="K156" s="13"/>
      <c r="L156" s="1"/>
    </row>
    <row r="157" spans="1:12" x14ac:dyDescent="0.25">
      <c r="A157" s="4" t="s">
        <v>255</v>
      </c>
      <c r="B157" s="4" t="s">
        <v>256</v>
      </c>
      <c r="C157" s="2">
        <f t="shared" si="43"/>
        <v>-480000</v>
      </c>
      <c r="D157" s="2">
        <v>-480000</v>
      </c>
      <c r="E157" s="13"/>
      <c r="F157" s="19"/>
      <c r="G157" s="13"/>
      <c r="H157" s="13"/>
      <c r="I157" s="13"/>
      <c r="J157" s="13"/>
      <c r="K157" s="13"/>
      <c r="L157" s="1"/>
    </row>
    <row r="158" spans="1:12" x14ac:dyDescent="0.25">
      <c r="A158" s="4" t="s">
        <v>257</v>
      </c>
      <c r="B158" s="4" t="s">
        <v>258</v>
      </c>
      <c r="C158" s="2">
        <f t="shared" si="43"/>
        <v>-707388.89</v>
      </c>
      <c r="D158" s="2">
        <v>-504500</v>
      </c>
      <c r="E158" s="2">
        <v>-80000</v>
      </c>
      <c r="F158" s="18"/>
      <c r="G158" s="13"/>
      <c r="H158" s="13"/>
      <c r="I158" s="2">
        <v>-121080</v>
      </c>
      <c r="J158" s="2">
        <v>-1808.89</v>
      </c>
      <c r="K158" s="13"/>
      <c r="L158" s="1"/>
    </row>
    <row r="159" spans="1:12" x14ac:dyDescent="0.25">
      <c r="A159" s="4" t="s">
        <v>259</v>
      </c>
      <c r="B159" s="4" t="s">
        <v>260</v>
      </c>
      <c r="C159" s="2">
        <f t="shared" si="43"/>
        <v>0</v>
      </c>
      <c r="D159" s="13"/>
      <c r="E159" s="13"/>
      <c r="F159" s="19"/>
      <c r="G159" s="13"/>
      <c r="H159" s="13"/>
      <c r="I159" s="13"/>
      <c r="J159" s="13"/>
      <c r="K159" s="13"/>
      <c r="L159" s="1"/>
    </row>
    <row r="160" spans="1:12" x14ac:dyDescent="0.25">
      <c r="A160" s="4" t="s">
        <v>261</v>
      </c>
      <c r="B160" s="4" t="s">
        <v>262</v>
      </c>
      <c r="C160" s="2">
        <f t="shared" si="43"/>
        <v>0</v>
      </c>
      <c r="D160" s="13"/>
      <c r="E160" s="13"/>
      <c r="F160" s="19"/>
      <c r="G160" s="13"/>
      <c r="H160" s="13"/>
      <c r="I160" s="13"/>
      <c r="J160" s="13"/>
      <c r="K160" s="13"/>
      <c r="L160" s="1"/>
    </row>
    <row r="161" spans="1:12" x14ac:dyDescent="0.25">
      <c r="A161" s="4" t="s">
        <v>263</v>
      </c>
      <c r="B161" s="4" t="s">
        <v>264</v>
      </c>
      <c r="C161" s="2">
        <f t="shared" si="43"/>
        <v>-2113819.5</v>
      </c>
      <c r="D161" s="13"/>
      <c r="E161" s="2">
        <f>-375000*1.3</f>
        <v>-487500</v>
      </c>
      <c r="F161" s="18">
        <f>-504500*1.3</f>
        <v>-655850</v>
      </c>
      <c r="G161" s="2">
        <f>1.3*-156250</f>
        <v>-203125</v>
      </c>
      <c r="H161" s="2">
        <f>-176575*1.3</f>
        <v>-229547.5</v>
      </c>
      <c r="I161" s="2">
        <f>-121080*1.3</f>
        <v>-157404</v>
      </c>
      <c r="J161" s="2">
        <f>-292610*1.3</f>
        <v>-380393</v>
      </c>
      <c r="K161" s="13"/>
      <c r="L161" s="1"/>
    </row>
    <row r="162" spans="1:12" x14ac:dyDescent="0.25">
      <c r="A162" s="4" t="s">
        <v>265</v>
      </c>
      <c r="B162" s="4" t="s">
        <v>266</v>
      </c>
      <c r="C162" s="2">
        <f t="shared" si="43"/>
        <v>-1245448</v>
      </c>
      <c r="D162" s="13"/>
      <c r="E162" s="2">
        <v>-562500</v>
      </c>
      <c r="F162" s="18">
        <v>-12108</v>
      </c>
      <c r="G162" s="2">
        <v>-156250</v>
      </c>
      <c r="H162" s="2">
        <v>-201800</v>
      </c>
      <c r="I162" s="2">
        <v>-110990</v>
      </c>
      <c r="J162" s="2">
        <v>-201800</v>
      </c>
      <c r="K162" s="13"/>
      <c r="L162" s="1"/>
    </row>
    <row r="163" spans="1:12" x14ac:dyDescent="0.25">
      <c r="A163" s="4" t="s">
        <v>267</v>
      </c>
      <c r="B163" s="4" t="s">
        <v>268</v>
      </c>
      <c r="C163" s="2">
        <f t="shared" si="43"/>
        <v>-478092</v>
      </c>
      <c r="D163" s="13"/>
      <c r="E163" s="2">
        <v>-125000</v>
      </c>
      <c r="F163" s="18">
        <v>-201800</v>
      </c>
      <c r="G163" s="2">
        <v>-62500</v>
      </c>
      <c r="H163" s="2">
        <v>-30270</v>
      </c>
      <c r="I163" s="2">
        <v>-30270</v>
      </c>
      <c r="J163" s="2">
        <v>-28252</v>
      </c>
      <c r="K163" s="13"/>
      <c r="L163" s="1"/>
    </row>
    <row r="164" spans="1:12" x14ac:dyDescent="0.25">
      <c r="A164" s="4" t="s">
        <v>269</v>
      </c>
      <c r="B164" s="4" t="s">
        <v>270</v>
      </c>
      <c r="C164" s="2">
        <f t="shared" si="43"/>
        <v>-91526.5</v>
      </c>
      <c r="D164" s="13"/>
      <c r="E164" s="2">
        <v>-20000</v>
      </c>
      <c r="F164" s="19"/>
      <c r="G164" s="2">
        <v>-12500</v>
      </c>
      <c r="H164" s="2">
        <v>-25225</v>
      </c>
      <c r="I164" s="2">
        <v>-18666.5</v>
      </c>
      <c r="J164" s="2">
        <v>-15135</v>
      </c>
      <c r="K164" s="13"/>
      <c r="L164" s="1"/>
    </row>
    <row r="165" spans="1:12" x14ac:dyDescent="0.25">
      <c r="A165" s="4" t="s">
        <v>271</v>
      </c>
      <c r="B165" s="4" t="s">
        <v>272</v>
      </c>
      <c r="C165" s="2">
        <f t="shared" si="43"/>
        <v>-71896</v>
      </c>
      <c r="D165" s="13"/>
      <c r="E165" s="2">
        <v>-15000</v>
      </c>
      <c r="F165" s="18">
        <v>-5045</v>
      </c>
      <c r="G165" s="2">
        <v>-12500</v>
      </c>
      <c r="H165" s="13"/>
      <c r="I165" s="2">
        <v>-4036</v>
      </c>
      <c r="J165" s="2">
        <v>-35315</v>
      </c>
      <c r="K165" s="13"/>
      <c r="L165" s="1"/>
    </row>
    <row r="166" spans="1:12" x14ac:dyDescent="0.25">
      <c r="A166" s="4" t="s">
        <v>273</v>
      </c>
      <c r="B166" s="4" t="s">
        <v>274</v>
      </c>
      <c r="C166" s="2">
        <f t="shared" si="43"/>
        <v>392887.98900000006</v>
      </c>
      <c r="D166" s="13"/>
      <c r="E166" s="13"/>
      <c r="F166" s="18">
        <f>302221.53*1.3</f>
        <v>392887.98900000006</v>
      </c>
      <c r="G166" s="13"/>
      <c r="H166" s="13"/>
      <c r="I166" s="13"/>
      <c r="J166" s="13"/>
      <c r="K166" s="13"/>
      <c r="L166" s="1"/>
    </row>
    <row r="167" spans="1:12" x14ac:dyDescent="0.25">
      <c r="A167" s="4" t="s">
        <v>275</v>
      </c>
      <c r="B167" s="4" t="s">
        <v>276</v>
      </c>
      <c r="C167" s="2">
        <f t="shared" si="43"/>
        <v>-504500</v>
      </c>
      <c r="D167" s="2">
        <v>-504500</v>
      </c>
      <c r="E167" s="13"/>
      <c r="F167" s="19"/>
      <c r="G167" s="13"/>
      <c r="H167" s="13"/>
      <c r="I167" s="13"/>
      <c r="J167" s="13"/>
      <c r="K167" s="13"/>
      <c r="L167" s="1"/>
    </row>
    <row r="168" spans="1:12" x14ac:dyDescent="0.25">
      <c r="A168" s="4" t="s">
        <v>277</v>
      </c>
      <c r="B168" s="4" t="s">
        <v>278</v>
      </c>
      <c r="C168" s="2">
        <f t="shared" si="43"/>
        <v>-2724300</v>
      </c>
      <c r="D168" s="2">
        <v>-2724300</v>
      </c>
      <c r="E168" s="13"/>
      <c r="F168" s="19"/>
      <c r="G168" s="13"/>
      <c r="H168" s="13"/>
      <c r="I168" s="13"/>
      <c r="J168" s="13"/>
      <c r="K168" s="13"/>
      <c r="L168" s="1"/>
    </row>
    <row r="169" spans="1:12" x14ac:dyDescent="0.25">
      <c r="A169" s="4" t="s">
        <v>279</v>
      </c>
      <c r="B169" s="4" t="s">
        <v>280</v>
      </c>
      <c r="C169" s="2">
        <f t="shared" si="43"/>
        <v>-353150</v>
      </c>
      <c r="D169" s="2">
        <v>-353150</v>
      </c>
      <c r="E169" s="13"/>
      <c r="F169" s="19"/>
      <c r="G169" s="13"/>
      <c r="H169" s="13"/>
      <c r="I169" s="13"/>
      <c r="J169" s="13"/>
      <c r="K169" s="13"/>
      <c r="L169" s="1"/>
    </row>
    <row r="170" spans="1:12" x14ac:dyDescent="0.25">
      <c r="A170" s="4" t="s">
        <v>281</v>
      </c>
      <c r="B170" s="4" t="s">
        <v>282</v>
      </c>
      <c r="C170" s="2">
        <f t="shared" si="43"/>
        <v>-100900</v>
      </c>
      <c r="D170" s="2">
        <v>-100900</v>
      </c>
      <c r="E170" s="13"/>
      <c r="F170" s="19"/>
      <c r="G170" s="13"/>
      <c r="H170" s="13"/>
      <c r="I170" s="13"/>
      <c r="J170" s="13"/>
      <c r="K170" s="13"/>
      <c r="L170" s="1"/>
    </row>
    <row r="171" spans="1:12" x14ac:dyDescent="0.25">
      <c r="A171" s="4" t="s">
        <v>283</v>
      </c>
      <c r="B171" s="4" t="s">
        <v>284</v>
      </c>
      <c r="C171" s="2">
        <f t="shared" si="43"/>
        <v>-783204.24000000011</v>
      </c>
      <c r="D171" s="2">
        <v>-763769.18</v>
      </c>
      <c r="E171" s="2">
        <v>-15000</v>
      </c>
      <c r="F171" s="18"/>
      <c r="G171" s="13"/>
      <c r="H171" s="13"/>
      <c r="I171" s="13"/>
      <c r="J171" s="2">
        <v>-4435.0600000000004</v>
      </c>
      <c r="K171" s="13"/>
      <c r="L171" s="1"/>
    </row>
    <row r="172" spans="1:12" x14ac:dyDescent="0.25">
      <c r="A172" s="4" t="s">
        <v>285</v>
      </c>
      <c r="B172" s="4" t="s">
        <v>286</v>
      </c>
      <c r="C172" s="2">
        <f t="shared" si="43"/>
        <v>-72549</v>
      </c>
      <c r="D172" s="13"/>
      <c r="E172" s="2">
        <v>-11000</v>
      </c>
      <c r="F172" s="19"/>
      <c r="G172" s="2">
        <v>-15135</v>
      </c>
      <c r="H172" s="2">
        <v>-10090</v>
      </c>
      <c r="I172" s="2">
        <v>-20180</v>
      </c>
      <c r="J172" s="2">
        <v>-16144</v>
      </c>
      <c r="K172" s="13"/>
      <c r="L172" s="1"/>
    </row>
    <row r="173" spans="1:12" x14ac:dyDescent="0.25">
      <c r="A173" s="4" t="s">
        <v>287</v>
      </c>
      <c r="B173" s="4" t="s">
        <v>288</v>
      </c>
      <c r="C173" s="2">
        <f t="shared" si="43"/>
        <v>-165476</v>
      </c>
      <c r="D173" s="2">
        <v>-161440</v>
      </c>
      <c r="E173" s="13"/>
      <c r="F173" s="18">
        <v>-4036</v>
      </c>
      <c r="G173" s="13"/>
      <c r="H173" s="13"/>
      <c r="I173" s="13"/>
      <c r="J173" s="13"/>
      <c r="K173" s="13"/>
      <c r="L173" s="1"/>
    </row>
    <row r="174" spans="1:12" x14ac:dyDescent="0.25">
      <c r="A174" s="4" t="s">
        <v>289</v>
      </c>
      <c r="B174" s="4" t="s">
        <v>290</v>
      </c>
      <c r="C174" s="2">
        <f t="shared" si="43"/>
        <v>-227025</v>
      </c>
      <c r="D174" s="2">
        <v>-201800</v>
      </c>
      <c r="E174" s="13"/>
      <c r="F174" s="18">
        <v>-10090</v>
      </c>
      <c r="G174" s="13"/>
      <c r="H174" s="2">
        <v>-10090</v>
      </c>
      <c r="I174" s="2">
        <v>-5045</v>
      </c>
      <c r="J174" s="13"/>
      <c r="K174" s="13"/>
      <c r="L174" s="1"/>
    </row>
    <row r="175" spans="1:12" x14ac:dyDescent="0.25">
      <c r="A175" s="4" t="s">
        <v>291</v>
      </c>
      <c r="B175" s="4" t="s">
        <v>292</v>
      </c>
      <c r="C175" s="2">
        <f t="shared" si="43"/>
        <v>-62705.8</v>
      </c>
      <c r="D175" s="2">
        <v>-50450</v>
      </c>
      <c r="E175" s="2">
        <v>-6000</v>
      </c>
      <c r="F175" s="18"/>
      <c r="G175" s="2">
        <v>-1210.8</v>
      </c>
      <c r="H175" s="2">
        <v>-1009</v>
      </c>
      <c r="I175" s="2">
        <v>-1009</v>
      </c>
      <c r="J175" s="2">
        <v>-3027</v>
      </c>
      <c r="K175" s="13"/>
      <c r="L175" s="1"/>
    </row>
    <row r="176" spans="1:12" x14ac:dyDescent="0.25">
      <c r="A176" s="4" t="s">
        <v>293</v>
      </c>
      <c r="B176" s="4" t="s">
        <v>294</v>
      </c>
      <c r="C176" s="2">
        <f t="shared" si="43"/>
        <v>-1361210</v>
      </c>
      <c r="D176" s="13"/>
      <c r="E176" s="2">
        <v>-465000</v>
      </c>
      <c r="F176" s="2">
        <v>0</v>
      </c>
      <c r="G176" s="2">
        <v>-200000</v>
      </c>
      <c r="H176" s="2">
        <v>-201800</v>
      </c>
      <c r="I176" s="2">
        <v>-363240</v>
      </c>
      <c r="J176" s="2">
        <v>-131170</v>
      </c>
      <c r="K176" s="13"/>
      <c r="L176" s="1"/>
    </row>
    <row r="177" spans="1:12" x14ac:dyDescent="0.25">
      <c r="A177" s="4" t="s">
        <v>295</v>
      </c>
      <c r="B177" s="4" t="s">
        <v>296</v>
      </c>
      <c r="C177" s="2">
        <f t="shared" si="43"/>
        <v>-457238.65</v>
      </c>
      <c r="D177" s="2">
        <v>-403600</v>
      </c>
      <c r="E177" s="2">
        <v>-15135</v>
      </c>
      <c r="F177" s="18">
        <v>-10090</v>
      </c>
      <c r="G177" s="2">
        <v>-15000</v>
      </c>
      <c r="H177" s="2">
        <v>-4036</v>
      </c>
      <c r="I177" s="2">
        <v>-6054</v>
      </c>
      <c r="J177" s="2">
        <v>-3323.65</v>
      </c>
      <c r="K177" s="13"/>
      <c r="L177" s="1"/>
    </row>
    <row r="178" spans="1:12" x14ac:dyDescent="0.25">
      <c r="A178" s="4" t="s">
        <v>297</v>
      </c>
      <c r="B178" s="4" t="s">
        <v>298</v>
      </c>
      <c r="C178" s="2">
        <f t="shared" si="43"/>
        <v>-71594</v>
      </c>
      <c r="D178" s="2">
        <v>-20180</v>
      </c>
      <c r="E178" s="2">
        <v>-15135</v>
      </c>
      <c r="F178" s="18">
        <v>-1009</v>
      </c>
      <c r="G178" s="2">
        <v>-5000</v>
      </c>
      <c r="H178" s="2">
        <v>-7063</v>
      </c>
      <c r="I178" s="2">
        <v>-5045</v>
      </c>
      <c r="J178" s="2">
        <v>-18162</v>
      </c>
      <c r="K178" s="13"/>
      <c r="L178" s="1"/>
    </row>
    <row r="179" spans="1:12" x14ac:dyDescent="0.25">
      <c r="A179" s="4" t="s">
        <v>299</v>
      </c>
      <c r="B179" s="4" t="s">
        <v>300</v>
      </c>
      <c r="C179" s="2">
        <f t="shared" si="43"/>
        <v>-50450</v>
      </c>
      <c r="D179" s="2">
        <v>-20180</v>
      </c>
      <c r="E179" s="2">
        <v>-5045</v>
      </c>
      <c r="F179" s="19"/>
      <c r="G179" s="2">
        <v>-5045</v>
      </c>
      <c r="H179" s="2">
        <v>-5045</v>
      </c>
      <c r="I179" s="2">
        <v>-5045</v>
      </c>
      <c r="J179" s="2">
        <v>-10090</v>
      </c>
      <c r="K179" s="13"/>
      <c r="L179" s="1"/>
    </row>
    <row r="180" spans="1:12" x14ac:dyDescent="0.25">
      <c r="A180" s="4" t="s">
        <v>301</v>
      </c>
      <c r="B180" s="4" t="s">
        <v>302</v>
      </c>
      <c r="C180" s="2">
        <f t="shared" si="43"/>
        <v>-557437</v>
      </c>
      <c r="D180" s="13"/>
      <c r="E180" s="2">
        <v>-201800</v>
      </c>
      <c r="F180" s="18">
        <v>-20180</v>
      </c>
      <c r="G180" s="2">
        <v>-60000</v>
      </c>
      <c r="H180" s="2">
        <v>-201800</v>
      </c>
      <c r="I180" s="2">
        <v>-43387</v>
      </c>
      <c r="J180" s="2">
        <v>-30270</v>
      </c>
      <c r="K180" s="13"/>
      <c r="L180" s="1"/>
    </row>
    <row r="181" spans="1:12" x14ac:dyDescent="0.25">
      <c r="A181" s="4" t="s">
        <v>303</v>
      </c>
      <c r="B181" s="4" t="s">
        <v>304</v>
      </c>
      <c r="C181" s="2">
        <f t="shared" si="43"/>
        <v>-1054671.22</v>
      </c>
      <c r="D181" s="2">
        <v>-605400</v>
      </c>
      <c r="E181" s="2">
        <v>-171796.22</v>
      </c>
      <c r="F181" s="18">
        <v>-171530</v>
      </c>
      <c r="G181" s="2">
        <v>-20180</v>
      </c>
      <c r="H181" s="2">
        <v>-20180</v>
      </c>
      <c r="I181" s="2">
        <v>-50450</v>
      </c>
      <c r="J181" s="2">
        <v>-15135</v>
      </c>
      <c r="K181" s="13"/>
      <c r="L181" s="1"/>
    </row>
    <row r="182" spans="1:12" x14ac:dyDescent="0.25">
      <c r="A182" s="4" t="s">
        <v>305</v>
      </c>
      <c r="B182" s="4" t="s">
        <v>306</v>
      </c>
      <c r="C182" s="2">
        <f t="shared" si="43"/>
        <v>-4013.5</v>
      </c>
      <c r="D182" s="2">
        <v>-1513.5</v>
      </c>
      <c r="E182" s="13"/>
      <c r="F182" s="19"/>
      <c r="G182" s="2">
        <v>-2500</v>
      </c>
      <c r="H182" s="13"/>
      <c r="I182" s="13"/>
      <c r="J182" s="13"/>
      <c r="K182" s="13"/>
      <c r="L182" s="1"/>
    </row>
    <row r="183" spans="1:12" x14ac:dyDescent="0.25">
      <c r="A183" s="4" t="s">
        <v>307</v>
      </c>
      <c r="B183" s="4" t="s">
        <v>308</v>
      </c>
      <c r="C183" s="2">
        <f t="shared" si="43"/>
        <v>-273401.18</v>
      </c>
      <c r="D183" s="2">
        <v>-10090</v>
      </c>
      <c r="E183" s="2">
        <v>-97500</v>
      </c>
      <c r="F183" s="19"/>
      <c r="G183" s="2">
        <v>-37500</v>
      </c>
      <c r="H183" s="2">
        <v>-27747.5</v>
      </c>
      <c r="I183" s="2">
        <v>-47927.5</v>
      </c>
      <c r="J183" s="2">
        <v>-52636.18</v>
      </c>
      <c r="K183" s="13"/>
      <c r="L183" s="1"/>
    </row>
    <row r="184" spans="1:12" x14ac:dyDescent="0.25">
      <c r="A184" s="4" t="s">
        <v>309</v>
      </c>
      <c r="B184" s="4" t="s">
        <v>310</v>
      </c>
      <c r="C184" s="2">
        <f t="shared" si="43"/>
        <v>-283097</v>
      </c>
      <c r="D184" s="2">
        <v>-4540.5</v>
      </c>
      <c r="E184" s="2">
        <v>-75675</v>
      </c>
      <c r="F184" s="18">
        <v>-20180</v>
      </c>
      <c r="G184" s="2">
        <v>-48000</v>
      </c>
      <c r="H184" s="2">
        <v>-20180</v>
      </c>
      <c r="I184" s="2">
        <v>-70630</v>
      </c>
      <c r="J184" s="2">
        <v>-43891.5</v>
      </c>
      <c r="K184" s="13"/>
      <c r="L184" s="1"/>
    </row>
    <row r="185" spans="1:12" x14ac:dyDescent="0.25">
      <c r="A185" s="4" t="s">
        <v>311</v>
      </c>
      <c r="B185" s="4" t="s">
        <v>312</v>
      </c>
      <c r="C185" s="2">
        <f t="shared" si="43"/>
        <v>-116035</v>
      </c>
      <c r="D185" s="2">
        <v>-10090</v>
      </c>
      <c r="E185" s="2">
        <v>-28252</v>
      </c>
      <c r="F185" s="19">
        <v>-5045</v>
      </c>
      <c r="G185" s="2">
        <v>-25225</v>
      </c>
      <c r="H185" s="2">
        <v>-15135</v>
      </c>
      <c r="I185" s="2">
        <v>-20180</v>
      </c>
      <c r="J185" s="2">
        <v>-12108</v>
      </c>
      <c r="K185" s="13"/>
      <c r="L185" s="1"/>
    </row>
    <row r="186" spans="1:12" x14ac:dyDescent="0.25">
      <c r="A186" s="4" t="s">
        <v>313</v>
      </c>
      <c r="B186" s="4" t="s">
        <v>314</v>
      </c>
      <c r="C186" s="2">
        <f t="shared" si="43"/>
        <v>-907507.82000000007</v>
      </c>
      <c r="D186" s="2">
        <f>-40360+142.18</f>
        <v>-40217.82</v>
      </c>
      <c r="E186" s="2">
        <v>-252250</v>
      </c>
      <c r="F186" s="18">
        <v>-10090</v>
      </c>
      <c r="G186" s="2">
        <v>-50000</v>
      </c>
      <c r="H186" s="2">
        <v>-353150</v>
      </c>
      <c r="I186" s="2">
        <v>-100900</v>
      </c>
      <c r="J186" s="2">
        <v>-100900</v>
      </c>
      <c r="K186" s="13"/>
      <c r="L186" s="1"/>
    </row>
    <row r="187" spans="1:12" x14ac:dyDescent="0.25">
      <c r="A187" s="4" t="s">
        <v>315</v>
      </c>
      <c r="B187" s="4" t="s">
        <v>316</v>
      </c>
      <c r="C187" s="2">
        <f t="shared" si="43"/>
        <v>-214983.33000000002</v>
      </c>
      <c r="D187" s="13"/>
      <c r="E187" s="2">
        <v>-81123.600000000006</v>
      </c>
      <c r="F187" s="18">
        <v>-1210.8</v>
      </c>
      <c r="G187" s="2">
        <v>-30000</v>
      </c>
      <c r="H187" s="2">
        <v>-22198</v>
      </c>
      <c r="I187" s="2">
        <v>-38342</v>
      </c>
      <c r="J187" s="2">
        <v>-42108.93</v>
      </c>
      <c r="K187" s="13"/>
      <c r="L187" s="1"/>
    </row>
    <row r="188" spans="1:12" x14ac:dyDescent="0.25">
      <c r="A188" s="4" t="s">
        <v>317</v>
      </c>
      <c r="B188" s="4" t="s">
        <v>318</v>
      </c>
      <c r="C188" s="2">
        <f t="shared" si="43"/>
        <v>-4060320.06</v>
      </c>
      <c r="D188" s="13"/>
      <c r="E188" s="2">
        <v>-1210800</v>
      </c>
      <c r="F188" s="18">
        <v>-807200</v>
      </c>
      <c r="G188" s="2">
        <v>-475000</v>
      </c>
      <c r="H188" s="2">
        <v>-302700</v>
      </c>
      <c r="I188" s="2">
        <v>-428825</v>
      </c>
      <c r="J188" s="2">
        <v>-835795.06</v>
      </c>
      <c r="K188" s="13"/>
      <c r="L188" s="1"/>
    </row>
    <row r="189" spans="1:12" x14ac:dyDescent="0.25">
      <c r="A189" s="4" t="s">
        <v>319</v>
      </c>
      <c r="B189" s="4" t="s">
        <v>320</v>
      </c>
      <c r="C189" s="2">
        <f t="shared" si="43"/>
        <v>-42639.97</v>
      </c>
      <c r="D189" s="2">
        <v>-42639.97</v>
      </c>
      <c r="E189" s="13"/>
      <c r="F189" s="19"/>
      <c r="G189" s="13"/>
      <c r="H189" s="13"/>
      <c r="I189" s="13"/>
      <c r="J189" s="13"/>
      <c r="K189" s="13"/>
      <c r="L189" s="1"/>
    </row>
    <row r="190" spans="1:12" x14ac:dyDescent="0.25">
      <c r="A190" s="4" t="s">
        <v>321</v>
      </c>
      <c r="B190" s="4" t="s">
        <v>322</v>
      </c>
      <c r="C190" s="2">
        <f t="shared" si="43"/>
        <v>-146358.48000000001</v>
      </c>
      <c r="D190" s="13"/>
      <c r="E190" s="2">
        <v>-3080.48</v>
      </c>
      <c r="F190" s="19"/>
      <c r="G190" s="2">
        <v>-141260</v>
      </c>
      <c r="H190" s="13"/>
      <c r="I190" s="2">
        <v>-2018</v>
      </c>
      <c r="J190" s="13"/>
      <c r="K190" s="13"/>
      <c r="L190" s="1"/>
    </row>
    <row r="191" spans="1:12" x14ac:dyDescent="0.25">
      <c r="A191" s="4" t="s">
        <v>323</v>
      </c>
      <c r="B191" s="4" t="s">
        <v>324</v>
      </c>
      <c r="C191" s="2">
        <f t="shared" si="43"/>
        <v>0</v>
      </c>
      <c r="D191" s="13"/>
      <c r="E191" s="13"/>
      <c r="F191" s="19"/>
      <c r="G191" s="13"/>
      <c r="H191" s="13"/>
      <c r="I191" s="13"/>
      <c r="J191" s="13"/>
      <c r="K191" s="13"/>
      <c r="L191" s="1"/>
    </row>
    <row r="192" spans="1:12" x14ac:dyDescent="0.25">
      <c r="A192" s="4" t="s">
        <v>325</v>
      </c>
      <c r="B192" s="4" t="s">
        <v>326</v>
      </c>
      <c r="C192" s="2">
        <f t="shared" si="43"/>
        <v>-595310</v>
      </c>
      <c r="D192" s="13"/>
      <c r="E192" s="2">
        <v>-201800</v>
      </c>
      <c r="F192" s="18">
        <v>-100900</v>
      </c>
      <c r="G192" s="2">
        <v>-100900</v>
      </c>
      <c r="H192" s="2">
        <v>-50450</v>
      </c>
      <c r="I192" s="2">
        <v>-100900</v>
      </c>
      <c r="J192" s="2">
        <v>-40360</v>
      </c>
      <c r="K192" s="13"/>
      <c r="L192" s="1"/>
    </row>
    <row r="193" spans="1:12" x14ac:dyDescent="0.25">
      <c r="A193" s="4" t="s">
        <v>327</v>
      </c>
      <c r="B193" s="4" t="s">
        <v>328</v>
      </c>
      <c r="C193" s="2">
        <f t="shared" si="43"/>
        <v>0</v>
      </c>
      <c r="D193" s="13"/>
      <c r="E193" s="13"/>
      <c r="F193" s="13"/>
      <c r="G193" s="13"/>
      <c r="H193" s="13"/>
      <c r="I193" s="13"/>
      <c r="J193" s="13"/>
      <c r="K193" s="13"/>
      <c r="L193" s="1"/>
    </row>
    <row r="194" spans="1:12" x14ac:dyDescent="0.25">
      <c r="A194" s="4" t="s">
        <v>329</v>
      </c>
      <c r="B194" s="4" t="s">
        <v>330</v>
      </c>
      <c r="C194" s="2">
        <f t="shared" si="43"/>
        <v>0</v>
      </c>
      <c r="D194" s="13"/>
      <c r="E194" s="13"/>
      <c r="F194" s="13"/>
      <c r="G194" s="13"/>
      <c r="H194" s="13"/>
      <c r="I194" s="13"/>
      <c r="J194" s="13"/>
      <c r="K194" s="13"/>
      <c r="L194" s="1"/>
    </row>
    <row r="195" spans="1:12" x14ac:dyDescent="0.25">
      <c r="A195" s="4" t="s">
        <v>331</v>
      </c>
      <c r="B195" s="4" t="s">
        <v>332</v>
      </c>
      <c r="C195" s="2">
        <f t="shared" si="43"/>
        <v>0</v>
      </c>
      <c r="D195" s="13"/>
      <c r="E195" s="13"/>
      <c r="F195" s="13"/>
      <c r="G195" s="13"/>
      <c r="H195" s="13"/>
      <c r="I195" s="13"/>
      <c r="J195" s="13"/>
      <c r="K195" s="13"/>
      <c r="L195" s="1"/>
    </row>
    <row r="196" spans="1:12" x14ac:dyDescent="0.25">
      <c r="A196" s="4" t="s">
        <v>333</v>
      </c>
      <c r="B196" s="4" t="s">
        <v>334</v>
      </c>
      <c r="C196" s="2">
        <f t="shared" si="43"/>
        <v>0</v>
      </c>
      <c r="D196" s="13"/>
      <c r="E196" s="13"/>
      <c r="F196" s="13"/>
      <c r="G196" s="13"/>
      <c r="H196" s="13"/>
      <c r="I196" s="13"/>
      <c r="J196" s="13"/>
      <c r="K196" s="13"/>
      <c r="L196" s="1"/>
    </row>
    <row r="197" spans="1:12" x14ac:dyDescent="0.25">
      <c r="A197" s="5" t="s">
        <v>335</v>
      </c>
      <c r="B197" s="5" t="s">
        <v>336</v>
      </c>
      <c r="C197" s="16">
        <f>SUM(C138:C196)</f>
        <v>-25994836.360999994</v>
      </c>
      <c r="D197" s="16">
        <f t="shared" ref="D197:K197" si="44">SUM(D138:D196)</f>
        <v>3553348.62</v>
      </c>
      <c r="E197" s="16">
        <f t="shared" si="44"/>
        <v>-10331244.184478</v>
      </c>
      <c r="F197" s="16">
        <f t="shared" si="44"/>
        <v>-1976337.1402050001</v>
      </c>
      <c r="G197" s="16">
        <f t="shared" si="44"/>
        <v>-3817721.6219119998</v>
      </c>
      <c r="H197" s="16">
        <f t="shared" si="44"/>
        <v>-3725053.4970780001</v>
      </c>
      <c r="I197" s="16">
        <f t="shared" si="44"/>
        <v>-4900201.2514439998</v>
      </c>
      <c r="J197" s="16">
        <f t="shared" si="44"/>
        <v>-4797627.2858830001</v>
      </c>
      <c r="K197" s="16">
        <f t="shared" si="44"/>
        <v>0</v>
      </c>
      <c r="L197" s="1"/>
    </row>
    <row r="198" spans="1:12" x14ac:dyDescent="0.25">
      <c r="A198" s="4" t="s">
        <v>7</v>
      </c>
      <c r="B198" s="4" t="s">
        <v>7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"/>
    </row>
    <row r="199" spans="1:12" x14ac:dyDescent="0.25">
      <c r="A199" s="5" t="s">
        <v>337</v>
      </c>
      <c r="B199" s="5" t="s">
        <v>338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"/>
    </row>
    <row r="200" spans="1:12" x14ac:dyDescent="0.25">
      <c r="A200" s="4" t="s">
        <v>339</v>
      </c>
      <c r="B200" s="4" t="s">
        <v>340</v>
      </c>
      <c r="C200" s="2">
        <f t="shared" ref="C200:C207" si="45">SUM(D200:K200)</f>
        <v>0</v>
      </c>
      <c r="D200" s="13"/>
      <c r="E200" s="13"/>
      <c r="F200" s="13"/>
      <c r="G200" s="13"/>
      <c r="H200" s="13"/>
      <c r="I200" s="13"/>
      <c r="J200" s="13"/>
      <c r="K200" s="13"/>
      <c r="L200" s="1"/>
    </row>
    <row r="201" spans="1:12" x14ac:dyDescent="0.25">
      <c r="A201" s="4" t="s">
        <v>341</v>
      </c>
      <c r="B201" s="4" t="s">
        <v>342</v>
      </c>
      <c r="C201" s="2">
        <f t="shared" si="45"/>
        <v>0</v>
      </c>
      <c r="D201" s="13"/>
      <c r="E201" s="13"/>
      <c r="F201" s="13"/>
      <c r="G201" s="13"/>
      <c r="H201" s="13"/>
      <c r="I201" s="13"/>
      <c r="J201" s="13"/>
      <c r="K201" s="13"/>
      <c r="L201" s="1"/>
    </row>
    <row r="202" spans="1:12" x14ac:dyDescent="0.25">
      <c r="A202" s="4" t="s">
        <v>343</v>
      </c>
      <c r="B202" s="4" t="s">
        <v>344</v>
      </c>
      <c r="C202" s="2">
        <f t="shared" si="45"/>
        <v>0</v>
      </c>
      <c r="D202" s="13"/>
      <c r="E202" s="13"/>
      <c r="F202" s="13"/>
      <c r="G202" s="13"/>
      <c r="H202" s="13"/>
      <c r="I202" s="13"/>
      <c r="J202" s="13"/>
      <c r="K202" s="13"/>
      <c r="L202" s="1"/>
    </row>
    <row r="203" spans="1:12" x14ac:dyDescent="0.25">
      <c r="A203" s="4" t="s">
        <v>345</v>
      </c>
      <c r="B203" s="4" t="s">
        <v>346</v>
      </c>
      <c r="C203" s="2">
        <f t="shared" si="45"/>
        <v>0</v>
      </c>
      <c r="D203" s="13"/>
      <c r="E203" s="13"/>
      <c r="F203" s="13"/>
      <c r="G203" s="13"/>
      <c r="H203" s="13"/>
      <c r="I203" s="13"/>
      <c r="J203" s="13"/>
      <c r="K203" s="13"/>
      <c r="L203" s="1"/>
    </row>
    <row r="204" spans="1:12" x14ac:dyDescent="0.25">
      <c r="A204" s="4" t="s">
        <v>347</v>
      </c>
      <c r="B204" s="4" t="s">
        <v>348</v>
      </c>
      <c r="C204" s="2">
        <f t="shared" si="45"/>
        <v>0</v>
      </c>
      <c r="D204" s="13"/>
      <c r="E204" s="13"/>
      <c r="F204" s="13"/>
      <c r="G204" s="13"/>
      <c r="H204" s="13"/>
      <c r="I204" s="13"/>
      <c r="J204" s="13"/>
      <c r="K204" s="13"/>
      <c r="L204" s="1"/>
    </row>
    <row r="205" spans="1:12" x14ac:dyDescent="0.25">
      <c r="A205" s="4" t="s">
        <v>349</v>
      </c>
      <c r="B205" s="4" t="s">
        <v>350</v>
      </c>
      <c r="C205" s="2">
        <f t="shared" si="45"/>
        <v>0</v>
      </c>
      <c r="D205" s="13"/>
      <c r="E205" s="13"/>
      <c r="F205" s="13"/>
      <c r="G205" s="13"/>
      <c r="H205" s="13"/>
      <c r="I205" s="13"/>
      <c r="J205" s="13"/>
      <c r="K205" s="13"/>
      <c r="L205" s="1"/>
    </row>
    <row r="206" spans="1:12" x14ac:dyDescent="0.25">
      <c r="A206" s="4" t="s">
        <v>351</v>
      </c>
      <c r="B206" s="4" t="s">
        <v>352</v>
      </c>
      <c r="C206" s="2">
        <f t="shared" si="45"/>
        <v>0</v>
      </c>
      <c r="D206" s="13"/>
      <c r="E206" s="13"/>
      <c r="F206" s="13"/>
      <c r="G206" s="13"/>
      <c r="H206" s="13"/>
      <c r="I206" s="13"/>
      <c r="J206" s="13"/>
      <c r="K206" s="13"/>
      <c r="L206" s="1"/>
    </row>
    <row r="207" spans="1:12" x14ac:dyDescent="0.25">
      <c r="A207" s="4" t="s">
        <v>353</v>
      </c>
      <c r="B207" s="4" t="s">
        <v>354</v>
      </c>
      <c r="C207" s="2">
        <f t="shared" si="45"/>
        <v>0</v>
      </c>
      <c r="D207" s="13"/>
      <c r="E207" s="13"/>
      <c r="F207" s="13"/>
      <c r="G207" s="13"/>
      <c r="H207" s="13"/>
      <c r="I207" s="13"/>
      <c r="J207" s="13"/>
      <c r="K207" s="13"/>
      <c r="L207" s="1"/>
    </row>
    <row r="208" spans="1:12" x14ac:dyDescent="0.25">
      <c r="A208" s="5" t="s">
        <v>355</v>
      </c>
      <c r="B208" s="5" t="s">
        <v>356</v>
      </c>
      <c r="C208" s="16">
        <f>SUM(C200:C207)</f>
        <v>0</v>
      </c>
      <c r="D208" s="16">
        <f t="shared" ref="D208:K208" si="46">SUM(D200:D207)</f>
        <v>0</v>
      </c>
      <c r="E208" s="16">
        <f t="shared" si="46"/>
        <v>0</v>
      </c>
      <c r="F208" s="16">
        <f t="shared" si="46"/>
        <v>0</v>
      </c>
      <c r="G208" s="16">
        <f t="shared" si="46"/>
        <v>0</v>
      </c>
      <c r="H208" s="16">
        <f t="shared" si="46"/>
        <v>0</v>
      </c>
      <c r="I208" s="16">
        <f t="shared" si="46"/>
        <v>0</v>
      </c>
      <c r="J208" s="16">
        <f t="shared" si="46"/>
        <v>0</v>
      </c>
      <c r="K208" s="16">
        <f t="shared" si="46"/>
        <v>0</v>
      </c>
      <c r="L208" s="1"/>
    </row>
    <row r="209" spans="1:12" x14ac:dyDescent="0.25">
      <c r="A209" s="4" t="s">
        <v>7</v>
      </c>
      <c r="B209" s="4" t="s">
        <v>7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"/>
    </row>
    <row r="210" spans="1:12" x14ac:dyDescent="0.25">
      <c r="A210" s="5" t="s">
        <v>357</v>
      </c>
      <c r="B210" s="5" t="s">
        <v>35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"/>
    </row>
    <row r="211" spans="1:12" x14ac:dyDescent="0.25">
      <c r="A211" s="4" t="s">
        <v>358</v>
      </c>
      <c r="B211" s="4" t="s">
        <v>359</v>
      </c>
      <c r="C211" s="2">
        <f t="shared" ref="C211:C217" si="47">SUM(D211:K211)</f>
        <v>0</v>
      </c>
      <c r="D211" s="13"/>
      <c r="E211" s="13"/>
      <c r="F211" s="13"/>
      <c r="G211" s="13"/>
      <c r="H211" s="13"/>
      <c r="I211" s="13"/>
      <c r="J211" s="13"/>
      <c r="K211" s="13"/>
      <c r="L211" s="1"/>
    </row>
    <row r="212" spans="1:12" x14ac:dyDescent="0.25">
      <c r="A212" s="4" t="s">
        <v>360</v>
      </c>
      <c r="B212" s="4" t="s">
        <v>361</v>
      </c>
      <c r="C212" s="2">
        <f t="shared" si="47"/>
        <v>-216000</v>
      </c>
      <c r="D212" s="13"/>
      <c r="E212" s="13"/>
      <c r="F212" s="13"/>
      <c r="G212" s="13"/>
      <c r="H212" s="13"/>
      <c r="I212" s="2">
        <v>-26000</v>
      </c>
      <c r="J212" s="2">
        <v>-190000</v>
      </c>
      <c r="K212" s="13"/>
      <c r="L212" s="1"/>
    </row>
    <row r="213" spans="1:12" x14ac:dyDescent="0.25">
      <c r="A213" s="4" t="s">
        <v>362</v>
      </c>
      <c r="B213" s="4" t="s">
        <v>363</v>
      </c>
      <c r="C213" s="2">
        <f t="shared" si="47"/>
        <v>-3600</v>
      </c>
      <c r="D213" s="2">
        <v>-3600</v>
      </c>
      <c r="E213" s="13"/>
      <c r="F213" s="13"/>
      <c r="G213" s="13"/>
      <c r="H213" s="13"/>
      <c r="I213" s="13"/>
      <c r="J213" s="13"/>
      <c r="K213" s="13"/>
      <c r="L213" s="1"/>
    </row>
    <row r="214" spans="1:12" x14ac:dyDescent="0.25">
      <c r="A214" s="4" t="s">
        <v>364</v>
      </c>
      <c r="B214" s="4" t="s">
        <v>365</v>
      </c>
      <c r="C214" s="2">
        <f t="shared" si="47"/>
        <v>-7500</v>
      </c>
      <c r="D214" s="2">
        <v>-7500</v>
      </c>
      <c r="E214" s="13"/>
      <c r="F214" s="13"/>
      <c r="G214" s="13"/>
      <c r="H214" s="13"/>
      <c r="I214" s="13"/>
      <c r="J214" s="13"/>
      <c r="K214" s="13"/>
      <c r="L214" s="1"/>
    </row>
    <row r="215" spans="1:12" x14ac:dyDescent="0.25">
      <c r="A215" s="4" t="s">
        <v>366</v>
      </c>
      <c r="B215" s="4" t="s">
        <v>367</v>
      </c>
      <c r="C215" s="2">
        <f t="shared" si="47"/>
        <v>0</v>
      </c>
      <c r="D215" s="13"/>
      <c r="E215" s="13"/>
      <c r="F215" s="13"/>
      <c r="G215" s="13"/>
      <c r="H215" s="13"/>
      <c r="I215" s="13"/>
      <c r="J215" s="13"/>
      <c r="K215" s="13"/>
      <c r="L215" s="1"/>
    </row>
    <row r="216" spans="1:12" x14ac:dyDescent="0.25">
      <c r="A216" s="4" t="s">
        <v>368</v>
      </c>
      <c r="B216" s="4" t="s">
        <v>369</v>
      </c>
      <c r="C216" s="2">
        <f t="shared" si="47"/>
        <v>0</v>
      </c>
      <c r="D216" s="13"/>
      <c r="E216" s="13"/>
      <c r="F216" s="13"/>
      <c r="G216" s="13"/>
      <c r="H216" s="13"/>
      <c r="I216" s="13"/>
      <c r="J216" s="13"/>
      <c r="K216" s="13"/>
      <c r="L216" s="1"/>
    </row>
    <row r="217" spans="1:12" x14ac:dyDescent="0.25">
      <c r="A217" s="4" t="s">
        <v>370</v>
      </c>
      <c r="B217" s="4" t="s">
        <v>371</v>
      </c>
      <c r="C217" s="2">
        <f t="shared" si="47"/>
        <v>0</v>
      </c>
      <c r="D217" s="13"/>
      <c r="E217" s="13"/>
      <c r="F217" s="13"/>
      <c r="G217" s="13"/>
      <c r="H217" s="13"/>
      <c r="I217" s="13"/>
      <c r="J217" s="13"/>
      <c r="K217" s="13"/>
      <c r="L217" s="1"/>
    </row>
    <row r="218" spans="1:12" x14ac:dyDescent="0.25">
      <c r="A218" s="5" t="s">
        <v>372</v>
      </c>
      <c r="B218" s="5" t="s">
        <v>373</v>
      </c>
      <c r="C218" s="16">
        <f>SUM(C211:C217)</f>
        <v>-227100</v>
      </c>
      <c r="D218" s="16">
        <f t="shared" ref="D218:K218" si="48">SUM(D211:D217)</f>
        <v>-11100</v>
      </c>
      <c r="E218" s="16">
        <f t="shared" si="48"/>
        <v>0</v>
      </c>
      <c r="F218" s="16">
        <f t="shared" si="48"/>
        <v>0</v>
      </c>
      <c r="G218" s="16">
        <f t="shared" si="48"/>
        <v>0</v>
      </c>
      <c r="H218" s="16">
        <f t="shared" si="48"/>
        <v>0</v>
      </c>
      <c r="I218" s="16">
        <f t="shared" si="48"/>
        <v>-26000</v>
      </c>
      <c r="J218" s="16">
        <f t="shared" si="48"/>
        <v>-190000</v>
      </c>
      <c r="K218" s="16">
        <f t="shared" si="48"/>
        <v>0</v>
      </c>
      <c r="L218" s="1"/>
    </row>
    <row r="219" spans="1:12" x14ac:dyDescent="0.25">
      <c r="A219" s="4" t="s">
        <v>7</v>
      </c>
      <c r="B219" s="4" t="s">
        <v>7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"/>
    </row>
    <row r="220" spans="1:12" x14ac:dyDescent="0.25">
      <c r="A220" s="5" t="s">
        <v>374</v>
      </c>
      <c r="B220" s="5" t="s">
        <v>375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"/>
    </row>
    <row r="221" spans="1:12" x14ac:dyDescent="0.25">
      <c r="A221" s="4" t="s">
        <v>376</v>
      </c>
      <c r="B221" s="4" t="s">
        <v>375</v>
      </c>
      <c r="C221" s="2">
        <f t="shared" ref="C221" si="49">SUM(D221:K221)</f>
        <v>0</v>
      </c>
      <c r="D221" s="13"/>
      <c r="E221" s="13"/>
      <c r="F221" s="13"/>
      <c r="G221" s="13"/>
      <c r="H221" s="13"/>
      <c r="I221" s="13"/>
      <c r="J221" s="13"/>
      <c r="K221" s="13"/>
      <c r="L221" s="1"/>
    </row>
    <row r="222" spans="1:12" x14ac:dyDescent="0.25">
      <c r="A222" s="5" t="s">
        <v>377</v>
      </c>
      <c r="B222" s="5" t="s">
        <v>378</v>
      </c>
      <c r="C222" s="16">
        <f>C221</f>
        <v>0</v>
      </c>
      <c r="D222" s="16">
        <f t="shared" ref="D222:K222" si="50">D221</f>
        <v>0</v>
      </c>
      <c r="E222" s="16">
        <f t="shared" si="50"/>
        <v>0</v>
      </c>
      <c r="F222" s="16">
        <f t="shared" si="50"/>
        <v>0</v>
      </c>
      <c r="G222" s="16">
        <f t="shared" si="50"/>
        <v>0</v>
      </c>
      <c r="H222" s="16">
        <f t="shared" si="50"/>
        <v>0</v>
      </c>
      <c r="I222" s="16">
        <f t="shared" si="50"/>
        <v>0</v>
      </c>
      <c r="J222" s="16">
        <f t="shared" si="50"/>
        <v>0</v>
      </c>
      <c r="K222" s="16">
        <f t="shared" si="50"/>
        <v>0</v>
      </c>
      <c r="L222" s="1"/>
    </row>
    <row r="223" spans="1:12" x14ac:dyDescent="0.25">
      <c r="A223" s="4" t="s">
        <v>7</v>
      </c>
      <c r="B223" s="4" t="s">
        <v>7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"/>
    </row>
    <row r="224" spans="1:12" x14ac:dyDescent="0.25">
      <c r="A224" s="5" t="s">
        <v>379</v>
      </c>
      <c r="B224" s="5" t="s">
        <v>380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"/>
    </row>
    <row r="225" spans="1:12" x14ac:dyDescent="0.25">
      <c r="A225" s="4" t="s">
        <v>381</v>
      </c>
      <c r="B225" s="4" t="s">
        <v>380</v>
      </c>
      <c r="C225" s="2">
        <f t="shared" ref="C225" si="51">SUM(D225:K225)</f>
        <v>0</v>
      </c>
      <c r="D225" s="13"/>
      <c r="E225" s="13"/>
      <c r="F225" s="13"/>
      <c r="G225" s="13"/>
      <c r="H225" s="13"/>
      <c r="I225" s="13"/>
      <c r="J225" s="13"/>
      <c r="K225" s="13"/>
      <c r="L225" s="1"/>
    </row>
    <row r="226" spans="1:12" x14ac:dyDescent="0.25">
      <c r="A226" s="5" t="s">
        <v>382</v>
      </c>
      <c r="B226" s="5" t="s">
        <v>383</v>
      </c>
      <c r="C226" s="16">
        <f>C225</f>
        <v>0</v>
      </c>
      <c r="D226" s="16">
        <f t="shared" ref="D226:K226" si="52">D225</f>
        <v>0</v>
      </c>
      <c r="E226" s="16">
        <f t="shared" si="52"/>
        <v>0</v>
      </c>
      <c r="F226" s="16">
        <f t="shared" si="52"/>
        <v>0</v>
      </c>
      <c r="G226" s="16">
        <f t="shared" si="52"/>
        <v>0</v>
      </c>
      <c r="H226" s="16">
        <f t="shared" si="52"/>
        <v>0</v>
      </c>
      <c r="I226" s="16">
        <f t="shared" si="52"/>
        <v>0</v>
      </c>
      <c r="J226" s="16">
        <f t="shared" si="52"/>
        <v>0</v>
      </c>
      <c r="K226" s="16">
        <f t="shared" si="52"/>
        <v>0</v>
      </c>
      <c r="L226" s="1"/>
    </row>
    <row r="227" spans="1:12" x14ac:dyDescent="0.25">
      <c r="A227" s="4" t="s">
        <v>7</v>
      </c>
      <c r="B227" s="4" t="s">
        <v>7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"/>
    </row>
    <row r="228" spans="1:12" ht="15.75" thickBot="1" x14ac:dyDescent="0.3">
      <c r="A228" s="6" t="s">
        <v>384</v>
      </c>
      <c r="B228" s="6" t="s">
        <v>385</v>
      </c>
      <c r="C228" s="17">
        <f t="shared" ref="C228:K228" si="53">C226+C222+C218+C208+C197+C135+C126</f>
        <v>686822.23900000378</v>
      </c>
      <c r="D228" s="17">
        <f t="shared" si="53"/>
        <v>0</v>
      </c>
      <c r="E228" s="17">
        <f t="shared" si="53"/>
        <v>-3602803.4044780005</v>
      </c>
      <c r="F228" s="17">
        <f t="shared" si="53"/>
        <v>-545179.89020500053</v>
      </c>
      <c r="G228" s="17">
        <f t="shared" si="53"/>
        <v>-960074.08191199973</v>
      </c>
      <c r="H228" s="17">
        <f t="shared" si="53"/>
        <v>-2002862.7570780008</v>
      </c>
      <c r="I228" s="17">
        <f t="shared" si="53"/>
        <v>-685575.63144400064</v>
      </c>
      <c r="J228" s="17">
        <f t="shared" si="53"/>
        <v>-1868766.995883001</v>
      </c>
      <c r="K228" s="17">
        <f t="shared" si="53"/>
        <v>10352085</v>
      </c>
      <c r="L228" s="1"/>
    </row>
    <row r="229" spans="1:12" ht="15.75" thickTop="1" x14ac:dyDescent="0.25">
      <c r="A229" s="4" t="s">
        <v>7</v>
      </c>
      <c r="B229" s="4" t="s">
        <v>7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"/>
    </row>
    <row r="230" spans="1:12" x14ac:dyDescent="0.25">
      <c r="A230" s="5" t="s">
        <v>386</v>
      </c>
      <c r="B230" s="5" t="s">
        <v>387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"/>
    </row>
    <row r="231" spans="1:12" x14ac:dyDescent="0.25">
      <c r="A231" s="4" t="s">
        <v>388</v>
      </c>
      <c r="B231" s="4" t="s">
        <v>389</v>
      </c>
      <c r="C231" s="2">
        <f t="shared" ref="C231:C233" si="54">SUM(D231:K231)</f>
        <v>0</v>
      </c>
      <c r="D231" s="13"/>
      <c r="E231" s="13"/>
      <c r="F231" s="13"/>
      <c r="G231" s="13"/>
      <c r="H231" s="13"/>
      <c r="I231" s="13"/>
      <c r="J231" s="13"/>
      <c r="K231" s="13"/>
      <c r="L231" s="1"/>
    </row>
    <row r="232" spans="1:12" x14ac:dyDescent="0.25">
      <c r="A232" s="4" t="s">
        <v>390</v>
      </c>
      <c r="B232" s="4" t="s">
        <v>391</v>
      </c>
      <c r="C232" s="2">
        <f t="shared" si="54"/>
        <v>0</v>
      </c>
      <c r="D232" s="13"/>
      <c r="E232" s="13"/>
      <c r="F232" s="13"/>
      <c r="G232" s="13"/>
      <c r="H232" s="13"/>
      <c r="I232" s="13"/>
      <c r="J232" s="13"/>
      <c r="K232" s="13"/>
      <c r="L232" s="1"/>
    </row>
    <row r="233" spans="1:12" x14ac:dyDescent="0.25">
      <c r="A233" s="4" t="s">
        <v>392</v>
      </c>
      <c r="B233" s="4" t="s">
        <v>393</v>
      </c>
      <c r="C233" s="2">
        <f t="shared" si="54"/>
        <v>0</v>
      </c>
      <c r="D233" s="13"/>
      <c r="E233" s="13"/>
      <c r="F233" s="13"/>
      <c r="G233" s="13"/>
      <c r="H233" s="13"/>
      <c r="I233" s="13"/>
      <c r="J233" s="13"/>
      <c r="K233" s="13"/>
      <c r="L233" s="1"/>
    </row>
    <row r="234" spans="1:12" x14ac:dyDescent="0.25">
      <c r="A234" s="5" t="s">
        <v>394</v>
      </c>
      <c r="B234" s="5" t="s">
        <v>395</v>
      </c>
      <c r="C234" s="16">
        <f>C233+C232+C231</f>
        <v>0</v>
      </c>
      <c r="D234" s="16">
        <f t="shared" ref="D234:K234" si="55">D233+D232+D231</f>
        <v>0</v>
      </c>
      <c r="E234" s="16">
        <f t="shared" si="55"/>
        <v>0</v>
      </c>
      <c r="F234" s="16">
        <f t="shared" si="55"/>
        <v>0</v>
      </c>
      <c r="G234" s="16">
        <f t="shared" si="55"/>
        <v>0</v>
      </c>
      <c r="H234" s="16">
        <f t="shared" si="55"/>
        <v>0</v>
      </c>
      <c r="I234" s="16">
        <f t="shared" si="55"/>
        <v>0</v>
      </c>
      <c r="J234" s="16">
        <f t="shared" si="55"/>
        <v>0</v>
      </c>
      <c r="K234" s="16">
        <f t="shared" si="55"/>
        <v>0</v>
      </c>
      <c r="L234" s="1"/>
    </row>
    <row r="235" spans="1:12" x14ac:dyDescent="0.25">
      <c r="A235" s="4" t="s">
        <v>7</v>
      </c>
      <c r="B235" s="4" t="s">
        <v>7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"/>
    </row>
    <row r="236" spans="1:12" ht="15.75" thickBot="1" x14ac:dyDescent="0.3">
      <c r="A236" s="6" t="s">
        <v>7</v>
      </c>
      <c r="B236" s="6" t="s">
        <v>41</v>
      </c>
      <c r="C236" s="17">
        <f t="shared" ref="C236" si="56">C234+C228</f>
        <v>686822.23900000378</v>
      </c>
      <c r="D236" s="17">
        <f t="shared" ref="D236:K236" si="57">D234+D228</f>
        <v>0</v>
      </c>
      <c r="E236" s="17">
        <f t="shared" si="57"/>
        <v>-3602803.4044780005</v>
      </c>
      <c r="F236" s="17">
        <f t="shared" si="57"/>
        <v>-545179.89020500053</v>
      </c>
      <c r="G236" s="17">
        <f t="shared" si="57"/>
        <v>-960074.08191199973</v>
      </c>
      <c r="H236" s="17">
        <f t="shared" si="57"/>
        <v>-2002862.7570780008</v>
      </c>
      <c r="I236" s="17">
        <f t="shared" si="57"/>
        <v>-685575.63144400064</v>
      </c>
      <c r="J236" s="17">
        <f t="shared" si="57"/>
        <v>-1868766.995883001</v>
      </c>
      <c r="K236" s="17">
        <f t="shared" si="57"/>
        <v>10352085</v>
      </c>
      <c r="L236" s="1"/>
    </row>
    <row r="237" spans="1:12" ht="15.75" thickTop="1" x14ac:dyDescent="0.25">
      <c r="A237" s="4" t="s">
        <v>7</v>
      </c>
      <c r="B237" s="4" t="s">
        <v>7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"/>
    </row>
    <row r="238" spans="1:12" x14ac:dyDescent="0.25">
      <c r="A238" s="4" t="s">
        <v>396</v>
      </c>
      <c r="B238" s="4" t="s">
        <v>397</v>
      </c>
      <c r="C238" s="16"/>
      <c r="D238" s="13"/>
      <c r="E238" s="13"/>
      <c r="F238" s="13"/>
      <c r="G238" s="13"/>
      <c r="H238" s="13"/>
      <c r="I238" s="13"/>
      <c r="J238" s="13"/>
      <c r="K238" s="13"/>
      <c r="L238" s="1"/>
    </row>
    <row r="239" spans="1:12" x14ac:dyDescent="0.25">
      <c r="A239" s="4" t="s">
        <v>398</v>
      </c>
      <c r="B239" s="4" t="s">
        <v>399</v>
      </c>
      <c r="C239" s="2">
        <f t="shared" ref="C239:C241" si="58">SUM(D239:K239)</f>
        <v>0</v>
      </c>
      <c r="D239" s="13"/>
      <c r="E239" s="13"/>
      <c r="F239" s="13"/>
      <c r="G239" s="13"/>
      <c r="H239" s="13"/>
      <c r="I239" s="13"/>
      <c r="J239" s="13"/>
      <c r="K239" s="13"/>
      <c r="L239" s="1"/>
    </row>
    <row r="240" spans="1:12" x14ac:dyDescent="0.25">
      <c r="A240" s="4" t="s">
        <v>400</v>
      </c>
      <c r="B240" s="4" t="s">
        <v>401</v>
      </c>
      <c r="C240" s="2">
        <f t="shared" si="58"/>
        <v>-2734907.13</v>
      </c>
      <c r="D240" s="13"/>
      <c r="E240" s="2">
        <v>-1026941.18</v>
      </c>
      <c r="F240" s="2">
        <v>-7007.8</v>
      </c>
      <c r="G240" s="2">
        <v>-341818.27</v>
      </c>
      <c r="H240" s="2">
        <v>-127468.26</v>
      </c>
      <c r="I240" s="2">
        <v>-364784.5</v>
      </c>
      <c r="J240" s="2">
        <v>-866887.12</v>
      </c>
      <c r="K240" s="13"/>
      <c r="L240" s="1"/>
    </row>
    <row r="241" spans="1:12" x14ac:dyDescent="0.25">
      <c r="A241" s="4" t="s">
        <v>402</v>
      </c>
      <c r="B241" s="4" t="s">
        <v>403</v>
      </c>
      <c r="C241" s="2">
        <f t="shared" si="58"/>
        <v>0</v>
      </c>
      <c r="D241" s="13"/>
      <c r="E241" s="13"/>
      <c r="F241" s="13"/>
      <c r="G241" s="13"/>
      <c r="H241" s="13"/>
      <c r="I241" s="13"/>
      <c r="J241" s="13"/>
      <c r="K241" s="13"/>
      <c r="L241" s="1"/>
    </row>
    <row r="242" spans="1:12" x14ac:dyDescent="0.25">
      <c r="A242" s="5" t="s">
        <v>404</v>
      </c>
      <c r="B242" s="5" t="s">
        <v>405</v>
      </c>
      <c r="C242" s="16">
        <f>C241+C240+C239</f>
        <v>-2734907.13</v>
      </c>
      <c r="D242" s="16">
        <f t="shared" ref="D242:K242" si="59">D241+D240+D239</f>
        <v>0</v>
      </c>
      <c r="E242" s="16">
        <f t="shared" si="59"/>
        <v>-1026941.18</v>
      </c>
      <c r="F242" s="16">
        <f t="shared" si="59"/>
        <v>-7007.8</v>
      </c>
      <c r="G242" s="16">
        <f t="shared" si="59"/>
        <v>-341818.27</v>
      </c>
      <c r="H242" s="16">
        <f t="shared" si="59"/>
        <v>-127468.26</v>
      </c>
      <c r="I242" s="16">
        <f t="shared" si="59"/>
        <v>-364784.5</v>
      </c>
      <c r="J242" s="16">
        <f t="shared" si="59"/>
        <v>-866887.12</v>
      </c>
      <c r="K242" s="16">
        <f t="shared" si="59"/>
        <v>0</v>
      </c>
      <c r="L242" s="1"/>
    </row>
    <row r="243" spans="1:12" x14ac:dyDescent="0.25">
      <c r="A243" s="4" t="s">
        <v>7</v>
      </c>
      <c r="B243" s="4" t="s">
        <v>7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"/>
    </row>
    <row r="244" spans="1:12" ht="15.75" thickBot="1" x14ac:dyDescent="0.3">
      <c r="A244" s="6" t="s">
        <v>406</v>
      </c>
      <c r="B244" s="6" t="s">
        <v>43</v>
      </c>
      <c r="C244" s="17">
        <f t="shared" ref="C244:K244" si="60">C236+C242</f>
        <v>-2048084.8909999961</v>
      </c>
      <c r="D244" s="17">
        <f t="shared" si="60"/>
        <v>0</v>
      </c>
      <c r="E244" s="17">
        <f t="shared" si="60"/>
        <v>-4629744.5844780002</v>
      </c>
      <c r="F244" s="17">
        <f t="shared" si="60"/>
        <v>-552187.69020500057</v>
      </c>
      <c r="G244" s="17">
        <f t="shared" si="60"/>
        <v>-1301892.3519119998</v>
      </c>
      <c r="H244" s="17">
        <f t="shared" si="60"/>
        <v>-2130331.0170780006</v>
      </c>
      <c r="I244" s="17">
        <f t="shared" si="60"/>
        <v>-1050360.1314440006</v>
      </c>
      <c r="J244" s="17">
        <f t="shared" si="60"/>
        <v>-2735654.1158830011</v>
      </c>
      <c r="K244" s="17">
        <f t="shared" si="60"/>
        <v>10352085</v>
      </c>
      <c r="L244" s="1"/>
    </row>
    <row r="245" spans="1:12" ht="15.75" thickTop="1" x14ac:dyDescent="0.25">
      <c r="C245" s="13"/>
      <c r="D245" s="13"/>
      <c r="E245" s="13"/>
      <c r="F245" s="13"/>
      <c r="G245" s="13"/>
      <c r="H245" s="13"/>
      <c r="I245" s="13"/>
      <c r="J245" s="13"/>
      <c r="K245" s="13"/>
    </row>
  </sheetData>
  <sheetProtection algorithmName="SHA-512" hashValue="T4gF5Qw9AVV1oT9JwVeQqU3GhIwOjZ6wTLA7Rm15V6jUflUSAtF0WHEiCjXJNs3ykx+vCFWxmxFfy3WjSSMvOw==" saltValue="coIdnO12xwW1JpfHzSOyL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0C29-5243-4391-8F61-969F56D93E7E}">
  <dimension ref="A1:K246"/>
  <sheetViews>
    <sheetView topLeftCell="A23" workbookViewId="0">
      <selection activeCell="C43" sqref="C43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11" width="13.5703125" style="14" bestFit="1" customWidth="1"/>
  </cols>
  <sheetData>
    <row r="1" spans="1:11" x14ac:dyDescent="0.25">
      <c r="A1" s="8" t="s">
        <v>414</v>
      </c>
      <c r="B1" s="8" t="s">
        <v>407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8"/>
      <c r="B2" s="8"/>
      <c r="C2" s="15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8"/>
      <c r="B3" s="8"/>
      <c r="C3" s="13"/>
      <c r="E3" s="13"/>
      <c r="F3" s="13"/>
      <c r="G3" s="13"/>
      <c r="H3" s="13"/>
      <c r="I3" s="13"/>
      <c r="J3" s="13"/>
      <c r="K3" s="13"/>
    </row>
    <row r="4" spans="1:11" x14ac:dyDescent="0.25">
      <c r="D4" s="13"/>
      <c r="E4" s="13"/>
    </row>
    <row r="5" spans="1:11" x14ac:dyDescent="0.25">
      <c r="A5" s="8" t="s">
        <v>5</v>
      </c>
      <c r="B5" s="8" t="s">
        <v>6</v>
      </c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D6" s="13"/>
      <c r="E6" s="13"/>
    </row>
    <row r="7" spans="1:11" x14ac:dyDescent="0.25">
      <c r="A7" s="7"/>
      <c r="B7" s="7"/>
      <c r="C7" s="2" t="s">
        <v>1</v>
      </c>
      <c r="D7" s="2" t="s">
        <v>2</v>
      </c>
      <c r="E7" s="2" t="s">
        <v>3</v>
      </c>
      <c r="F7" s="2" t="s">
        <v>408</v>
      </c>
      <c r="G7" s="2" t="s">
        <v>409</v>
      </c>
      <c r="H7" s="2" t="s">
        <v>410</v>
      </c>
      <c r="I7" s="2" t="s">
        <v>411</v>
      </c>
      <c r="J7" s="2" t="s">
        <v>412</v>
      </c>
      <c r="K7" s="2" t="s">
        <v>413</v>
      </c>
    </row>
    <row r="8" spans="1:11" x14ac:dyDescent="0.25">
      <c r="A8" s="9" t="s">
        <v>7</v>
      </c>
      <c r="B8" s="9" t="s">
        <v>8</v>
      </c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8" t="s">
        <v>7</v>
      </c>
      <c r="B9" s="8" t="s">
        <v>7</v>
      </c>
      <c r="C9" s="13"/>
      <c r="D9" s="13"/>
      <c r="E9" s="13"/>
      <c r="F9" s="13"/>
      <c r="G9" s="13"/>
      <c r="H9" s="13"/>
      <c r="I9" s="13"/>
      <c r="J9" s="13"/>
      <c r="K9" s="13"/>
    </row>
    <row r="10" spans="1:11" x14ac:dyDescent="0.25">
      <c r="A10" s="8" t="s">
        <v>9</v>
      </c>
      <c r="B10" s="8" t="s">
        <v>10</v>
      </c>
      <c r="C10" s="2">
        <f t="shared" ref="C10:K10" si="0">C45</f>
        <v>62418531</v>
      </c>
      <c r="D10" s="2">
        <f t="shared" si="0"/>
        <v>2226850</v>
      </c>
      <c r="E10" s="2">
        <f t="shared" si="0"/>
        <v>20424814</v>
      </c>
      <c r="F10" s="2">
        <f t="shared" si="0"/>
        <v>186934</v>
      </c>
      <c r="G10" s="2">
        <f t="shared" si="0"/>
        <v>8174884</v>
      </c>
      <c r="H10" s="2">
        <f t="shared" si="0"/>
        <v>7454255</v>
      </c>
      <c r="I10" s="2">
        <f t="shared" si="0"/>
        <v>10469955</v>
      </c>
      <c r="J10" s="2">
        <f t="shared" si="0"/>
        <v>9480839</v>
      </c>
      <c r="K10" s="2">
        <f t="shared" si="0"/>
        <v>4000000</v>
      </c>
    </row>
    <row r="11" spans="1:11" x14ac:dyDescent="0.25">
      <c r="A11" s="8" t="s">
        <v>11</v>
      </c>
      <c r="B11" s="8" t="s">
        <v>12</v>
      </c>
      <c r="C11" s="2">
        <f t="shared" ref="C11:K11" si="1">C58</f>
        <v>4540912.0599999996</v>
      </c>
      <c r="D11" s="2">
        <f t="shared" si="1"/>
        <v>0</v>
      </c>
      <c r="E11" s="2">
        <f t="shared" si="1"/>
        <v>486000</v>
      </c>
      <c r="F11" s="2">
        <f t="shared" si="1"/>
        <v>3260500</v>
      </c>
      <c r="G11" s="2">
        <f t="shared" si="1"/>
        <v>468162</v>
      </c>
      <c r="H11" s="2">
        <f t="shared" si="1"/>
        <v>50450</v>
      </c>
      <c r="I11" s="2">
        <f t="shared" si="1"/>
        <v>158917.5</v>
      </c>
      <c r="J11" s="2">
        <f t="shared" si="1"/>
        <v>116882.56</v>
      </c>
      <c r="K11" s="2">
        <f t="shared" si="1"/>
        <v>0</v>
      </c>
    </row>
    <row r="12" spans="1:11" x14ac:dyDescent="0.25">
      <c r="A12" s="8" t="s">
        <v>13</v>
      </c>
      <c r="B12" s="8" t="s">
        <v>14</v>
      </c>
      <c r="C12" s="2">
        <f t="shared" ref="C12:K12" si="2">C62</f>
        <v>574516.53</v>
      </c>
      <c r="D12" s="2">
        <f t="shared" si="2"/>
        <v>0</v>
      </c>
      <c r="E12" s="2">
        <f t="shared" si="2"/>
        <v>473616.53</v>
      </c>
      <c r="F12" s="2">
        <f t="shared" si="2"/>
        <v>0</v>
      </c>
      <c r="G12" s="2">
        <f t="shared" si="2"/>
        <v>0</v>
      </c>
      <c r="H12" s="2">
        <f t="shared" si="2"/>
        <v>40360</v>
      </c>
      <c r="I12" s="2">
        <f t="shared" si="2"/>
        <v>0</v>
      </c>
      <c r="J12" s="2">
        <f t="shared" si="2"/>
        <v>60540</v>
      </c>
      <c r="K12" s="2">
        <f t="shared" si="2"/>
        <v>0</v>
      </c>
    </row>
    <row r="13" spans="1:11" x14ac:dyDescent="0.25">
      <c r="A13" s="9" t="s">
        <v>15</v>
      </c>
      <c r="B13" s="9" t="s">
        <v>16</v>
      </c>
      <c r="C13" s="16">
        <f t="shared" ref="C13:K13" si="3">C12+C11+C10</f>
        <v>67533959.590000004</v>
      </c>
      <c r="D13" s="16">
        <f t="shared" si="3"/>
        <v>2226850</v>
      </c>
      <c r="E13" s="16">
        <f t="shared" si="3"/>
        <v>21384430.530000001</v>
      </c>
      <c r="F13" s="16">
        <f t="shared" si="3"/>
        <v>3447434</v>
      </c>
      <c r="G13" s="16">
        <f t="shared" si="3"/>
        <v>8643046</v>
      </c>
      <c r="H13" s="16">
        <f t="shared" si="3"/>
        <v>7545065</v>
      </c>
      <c r="I13" s="16">
        <f t="shared" si="3"/>
        <v>10628872.5</v>
      </c>
      <c r="J13" s="16">
        <f t="shared" si="3"/>
        <v>9658261.5600000005</v>
      </c>
      <c r="K13" s="16">
        <f t="shared" si="3"/>
        <v>4000000</v>
      </c>
    </row>
    <row r="14" spans="1:11" x14ac:dyDescent="0.25">
      <c r="A14" s="8" t="s">
        <v>7</v>
      </c>
      <c r="B14" s="8" t="s">
        <v>7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A15" s="9" t="s">
        <v>7</v>
      </c>
      <c r="B15" s="9" t="s">
        <v>17</v>
      </c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8" t="s">
        <v>18</v>
      </c>
      <c r="B16" s="8" t="s">
        <v>19</v>
      </c>
      <c r="C16" s="2">
        <f t="shared" ref="C16:K16" si="4">C69</f>
        <v>0</v>
      </c>
      <c r="D16" s="2">
        <f t="shared" si="4"/>
        <v>0</v>
      </c>
      <c r="E16" s="2">
        <f t="shared" si="4"/>
        <v>0</v>
      </c>
      <c r="F16" s="2">
        <f t="shared" si="4"/>
        <v>0</v>
      </c>
      <c r="G16" s="2">
        <f t="shared" si="4"/>
        <v>0</v>
      </c>
      <c r="H16" s="2">
        <f t="shared" si="4"/>
        <v>0</v>
      </c>
      <c r="I16" s="2">
        <f t="shared" si="4"/>
        <v>0</v>
      </c>
      <c r="J16" s="2">
        <f t="shared" si="4"/>
        <v>0</v>
      </c>
      <c r="K16" s="2">
        <f t="shared" si="4"/>
        <v>0</v>
      </c>
    </row>
    <row r="17" spans="1:11" x14ac:dyDescent="0.25">
      <c r="A17" s="8" t="s">
        <v>20</v>
      </c>
      <c r="B17" s="8" t="s">
        <v>21</v>
      </c>
      <c r="C17" s="2">
        <f t="shared" ref="C17:K17" si="5">C76</f>
        <v>-150111.81</v>
      </c>
      <c r="D17" s="2">
        <f t="shared" si="5"/>
        <v>0</v>
      </c>
      <c r="E17" s="2">
        <f t="shared" si="5"/>
        <v>-7000</v>
      </c>
      <c r="F17" s="2">
        <f t="shared" si="5"/>
        <v>-5545.87</v>
      </c>
      <c r="G17" s="2">
        <f t="shared" si="5"/>
        <v>-36000</v>
      </c>
      <c r="H17" s="2">
        <f t="shared" si="5"/>
        <v>-13117</v>
      </c>
      <c r="I17" s="2">
        <f t="shared" si="5"/>
        <v>0</v>
      </c>
      <c r="J17" s="2">
        <f t="shared" si="5"/>
        <v>-88448.94</v>
      </c>
      <c r="K17" s="2">
        <f t="shared" si="5"/>
        <v>0</v>
      </c>
    </row>
    <row r="18" spans="1:11" x14ac:dyDescent="0.25">
      <c r="A18" s="8" t="s">
        <v>22</v>
      </c>
      <c r="B18" s="8" t="s">
        <v>23</v>
      </c>
      <c r="C18" s="2">
        <f t="shared" ref="C18:K18" si="6">C81</f>
        <v>0</v>
      </c>
      <c r="D18" s="2">
        <f t="shared" si="6"/>
        <v>0</v>
      </c>
      <c r="E18" s="2">
        <f t="shared" si="6"/>
        <v>0</v>
      </c>
      <c r="F18" s="2">
        <f t="shared" si="6"/>
        <v>0</v>
      </c>
      <c r="G18" s="2">
        <f t="shared" si="6"/>
        <v>0</v>
      </c>
      <c r="H18" s="2">
        <f t="shared" si="6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</row>
    <row r="19" spans="1:11" x14ac:dyDescent="0.25">
      <c r="A19" s="8" t="s">
        <v>7</v>
      </c>
      <c r="B19" s="8" t="s">
        <v>7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8" t="s">
        <v>24</v>
      </c>
      <c r="B20" s="8" t="s">
        <v>25</v>
      </c>
      <c r="C20" s="2">
        <f t="shared" ref="C20:K20" si="7">C122</f>
        <v>-44635469.18</v>
      </c>
      <c r="D20" s="2">
        <f t="shared" si="7"/>
        <v>-4920378.6900000004</v>
      </c>
      <c r="E20" s="2">
        <f t="shared" si="7"/>
        <v>-13809524.07</v>
      </c>
      <c r="F20" s="2">
        <f t="shared" si="7"/>
        <v>-2010730.8800000004</v>
      </c>
      <c r="G20" s="2">
        <f t="shared" si="7"/>
        <v>-5432508.6599999992</v>
      </c>
      <c r="H20" s="2">
        <f t="shared" si="7"/>
        <v>-5571248.96</v>
      </c>
      <c r="I20" s="2">
        <f t="shared" si="7"/>
        <v>-6329970.79</v>
      </c>
      <c r="J20" s="2">
        <f t="shared" si="7"/>
        <v>-6561107.1299999999</v>
      </c>
      <c r="K20" s="2">
        <f t="shared" si="7"/>
        <v>0</v>
      </c>
    </row>
    <row r="21" spans="1:11" x14ac:dyDescent="0.25">
      <c r="A21" s="9" t="s">
        <v>26</v>
      </c>
      <c r="B21" s="9" t="s">
        <v>27</v>
      </c>
      <c r="C21" s="16">
        <f t="shared" ref="C21:K21" si="8">C20+C18+C17+C16</f>
        <v>-44785580.990000002</v>
      </c>
      <c r="D21" s="16">
        <f t="shared" si="8"/>
        <v>-4920378.6900000004</v>
      </c>
      <c r="E21" s="16">
        <f t="shared" si="8"/>
        <v>-13816524.07</v>
      </c>
      <c r="F21" s="16">
        <f t="shared" si="8"/>
        <v>-2016276.7500000005</v>
      </c>
      <c r="G21" s="16">
        <f t="shared" si="8"/>
        <v>-5468508.6599999992</v>
      </c>
      <c r="H21" s="16">
        <f t="shared" si="8"/>
        <v>-5584365.96</v>
      </c>
      <c r="I21" s="16">
        <f t="shared" si="8"/>
        <v>-6329970.79</v>
      </c>
      <c r="J21" s="16">
        <f t="shared" si="8"/>
        <v>-6649556.0700000003</v>
      </c>
      <c r="K21" s="16">
        <f t="shared" si="8"/>
        <v>0</v>
      </c>
    </row>
    <row r="22" spans="1:11" x14ac:dyDescent="0.25">
      <c r="A22" s="8" t="s">
        <v>7</v>
      </c>
      <c r="B22" s="8" t="s">
        <v>7</v>
      </c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8" t="s">
        <v>28</v>
      </c>
      <c r="B23" s="8" t="s">
        <v>29</v>
      </c>
      <c r="C23" s="2">
        <f t="shared" ref="C23:K23" si="9">C135</f>
        <v>540930.26</v>
      </c>
      <c r="D23" s="2">
        <f t="shared" si="9"/>
        <v>50000</v>
      </c>
      <c r="E23" s="2">
        <f t="shared" si="9"/>
        <v>175000</v>
      </c>
      <c r="F23" s="2">
        <f t="shared" si="9"/>
        <v>0</v>
      </c>
      <c r="G23" s="2">
        <f t="shared" si="9"/>
        <v>116100</v>
      </c>
      <c r="H23" s="2">
        <f t="shared" si="9"/>
        <v>25225</v>
      </c>
      <c r="I23" s="2">
        <f t="shared" si="9"/>
        <v>68107.5</v>
      </c>
      <c r="J23" s="2">
        <f t="shared" si="9"/>
        <v>106497.76</v>
      </c>
      <c r="K23" s="2">
        <f t="shared" si="9"/>
        <v>0</v>
      </c>
    </row>
    <row r="24" spans="1:11" x14ac:dyDescent="0.25">
      <c r="A24" s="8" t="s">
        <v>30</v>
      </c>
      <c r="B24" s="8" t="s">
        <v>31</v>
      </c>
      <c r="C24" s="2">
        <f t="shared" ref="C24:K24" si="10">C197</f>
        <v>-26434104.450999994</v>
      </c>
      <c r="D24" s="2">
        <f t="shared" si="10"/>
        <v>2654486.5100000016</v>
      </c>
      <c r="E24" s="2">
        <f t="shared" si="10"/>
        <v>-10205720.524033999</v>
      </c>
      <c r="F24" s="2">
        <f t="shared" si="10"/>
        <v>-1843689.232115</v>
      </c>
      <c r="G24" s="2">
        <f t="shared" si="10"/>
        <v>-3775420.6081360001</v>
      </c>
      <c r="H24" s="2">
        <f t="shared" si="10"/>
        <v>-3684920.0818340001</v>
      </c>
      <c r="I24" s="2">
        <f t="shared" si="10"/>
        <v>-4835961.5131320003</v>
      </c>
      <c r="J24" s="2">
        <f t="shared" si="10"/>
        <v>-4742879.0017490005</v>
      </c>
      <c r="K24" s="2">
        <f t="shared" si="10"/>
        <v>0</v>
      </c>
    </row>
    <row r="25" spans="1:11" x14ac:dyDescent="0.25">
      <c r="A25" s="8" t="s">
        <v>32</v>
      </c>
      <c r="B25" s="8" t="s">
        <v>33</v>
      </c>
      <c r="C25" s="2">
        <f t="shared" ref="C25:K25" si="11">C208</f>
        <v>0</v>
      </c>
      <c r="D25" s="2">
        <f t="shared" si="11"/>
        <v>0</v>
      </c>
      <c r="E25" s="2">
        <f t="shared" si="11"/>
        <v>0</v>
      </c>
      <c r="F25" s="2">
        <f t="shared" si="11"/>
        <v>0</v>
      </c>
      <c r="G25" s="2">
        <f t="shared" si="11"/>
        <v>0</v>
      </c>
      <c r="H25" s="2">
        <f t="shared" si="11"/>
        <v>0</v>
      </c>
      <c r="I25" s="2">
        <f t="shared" si="11"/>
        <v>0</v>
      </c>
      <c r="J25" s="2">
        <f t="shared" si="11"/>
        <v>0</v>
      </c>
      <c r="K25" s="2">
        <f t="shared" si="11"/>
        <v>0</v>
      </c>
    </row>
    <row r="26" spans="1:11" x14ac:dyDescent="0.25">
      <c r="A26" s="8" t="s">
        <v>34</v>
      </c>
      <c r="B26" s="8" t="s">
        <v>35</v>
      </c>
      <c r="C26" s="2">
        <f t="shared" ref="C26:K26" si="12">C218</f>
        <v>-266992.42</v>
      </c>
      <c r="D26" s="2">
        <f t="shared" si="12"/>
        <v>-10957.82</v>
      </c>
      <c r="E26" s="2">
        <f t="shared" si="12"/>
        <v>-2586.66</v>
      </c>
      <c r="F26" s="2">
        <f t="shared" si="12"/>
        <v>0</v>
      </c>
      <c r="G26" s="2">
        <f t="shared" si="12"/>
        <v>-1951.42</v>
      </c>
      <c r="H26" s="2">
        <f t="shared" si="12"/>
        <v>-316.14999999999998</v>
      </c>
      <c r="I26" s="2">
        <f t="shared" si="12"/>
        <v>-60321.68</v>
      </c>
      <c r="J26" s="2">
        <f t="shared" si="12"/>
        <v>-190858.69</v>
      </c>
      <c r="K26" s="2">
        <f t="shared" si="12"/>
        <v>0</v>
      </c>
    </row>
    <row r="27" spans="1:11" x14ac:dyDescent="0.25">
      <c r="A27" s="8" t="s">
        <v>36</v>
      </c>
      <c r="B27" s="8" t="s">
        <v>37</v>
      </c>
      <c r="C27" s="2">
        <f t="shared" ref="C27:K27" si="13">C222</f>
        <v>0</v>
      </c>
      <c r="D27" s="2">
        <f t="shared" si="13"/>
        <v>0</v>
      </c>
      <c r="E27" s="2">
        <f t="shared" si="13"/>
        <v>0</v>
      </c>
      <c r="F27" s="2">
        <f t="shared" si="13"/>
        <v>0</v>
      </c>
      <c r="G27" s="2">
        <f t="shared" si="13"/>
        <v>0</v>
      </c>
      <c r="H27" s="2">
        <f t="shared" si="13"/>
        <v>0</v>
      </c>
      <c r="I27" s="2">
        <f t="shared" si="13"/>
        <v>0</v>
      </c>
      <c r="J27" s="2">
        <f t="shared" si="13"/>
        <v>0</v>
      </c>
      <c r="K27" s="2">
        <f t="shared" si="13"/>
        <v>0</v>
      </c>
    </row>
    <row r="28" spans="1:11" x14ac:dyDescent="0.25">
      <c r="A28" s="8" t="s">
        <v>38</v>
      </c>
      <c r="B28" s="8" t="s">
        <v>39</v>
      </c>
      <c r="C28" s="2">
        <f t="shared" ref="C28:K28" si="14">C226</f>
        <v>0</v>
      </c>
      <c r="D28" s="2">
        <f t="shared" si="14"/>
        <v>0</v>
      </c>
      <c r="E28" s="2">
        <f t="shared" si="14"/>
        <v>0</v>
      </c>
      <c r="F28" s="2">
        <f t="shared" si="14"/>
        <v>0</v>
      </c>
      <c r="G28" s="2">
        <f t="shared" si="14"/>
        <v>0</v>
      </c>
      <c r="H28" s="2">
        <f t="shared" si="14"/>
        <v>0</v>
      </c>
      <c r="I28" s="2">
        <f t="shared" si="14"/>
        <v>0</v>
      </c>
      <c r="J28" s="2">
        <f t="shared" si="14"/>
        <v>0</v>
      </c>
      <c r="K28" s="2">
        <f t="shared" si="14"/>
        <v>0</v>
      </c>
    </row>
    <row r="29" spans="1:11" x14ac:dyDescent="0.25">
      <c r="A29" s="8" t="s">
        <v>7</v>
      </c>
      <c r="B29" s="8" t="s">
        <v>7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5.75" thickBot="1" x14ac:dyDescent="0.3">
      <c r="A30" s="10" t="s">
        <v>40</v>
      </c>
      <c r="B30" s="10" t="s">
        <v>41</v>
      </c>
      <c r="C30" s="17">
        <f t="shared" ref="C30:K30" si="15">C28+C27+C26+C25+C24+C23+C21+C13</f>
        <v>-3411788.0109999925</v>
      </c>
      <c r="D30" s="17">
        <f t="shared" si="15"/>
        <v>0</v>
      </c>
      <c r="E30" s="17">
        <f t="shared" si="15"/>
        <v>-2465400.7240339965</v>
      </c>
      <c r="F30" s="17">
        <f t="shared" si="15"/>
        <v>-412531.98211500049</v>
      </c>
      <c r="G30" s="17">
        <f t="shared" si="15"/>
        <v>-486734.68813600019</v>
      </c>
      <c r="H30" s="17">
        <f t="shared" si="15"/>
        <v>-1699312.191833999</v>
      </c>
      <c r="I30" s="17">
        <f t="shared" si="15"/>
        <v>-529273.98313200101</v>
      </c>
      <c r="J30" s="17">
        <f t="shared" si="15"/>
        <v>-1818534.4417490009</v>
      </c>
      <c r="K30" s="17">
        <f t="shared" si="15"/>
        <v>4000000</v>
      </c>
    </row>
    <row r="31" spans="1:11" ht="15.75" thickTop="1" x14ac:dyDescent="0.25">
      <c r="A31" s="8" t="s">
        <v>7</v>
      </c>
      <c r="B31" s="8" t="s">
        <v>7</v>
      </c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8" t="s">
        <v>4</v>
      </c>
      <c r="B32" s="8" t="s">
        <v>42</v>
      </c>
      <c r="C32" s="2">
        <f t="shared" ref="C32:K32" si="16">C242</f>
        <v>-2273204.3199999998</v>
      </c>
      <c r="D32" s="2">
        <f t="shared" si="16"/>
        <v>0</v>
      </c>
      <c r="E32" s="2">
        <f t="shared" si="16"/>
        <v>-742702.9</v>
      </c>
      <c r="F32" s="2">
        <f t="shared" si="16"/>
        <v>-906.4</v>
      </c>
      <c r="G32" s="2">
        <f t="shared" si="16"/>
        <v>-291128.38</v>
      </c>
      <c r="H32" s="2">
        <f t="shared" si="16"/>
        <v>-86796.89</v>
      </c>
      <c r="I32" s="2">
        <f t="shared" si="16"/>
        <v>-348408.6</v>
      </c>
      <c r="J32" s="2">
        <f t="shared" si="16"/>
        <v>-803261.15</v>
      </c>
      <c r="K32" s="2">
        <f t="shared" si="16"/>
        <v>0</v>
      </c>
    </row>
    <row r="33" spans="1:11" x14ac:dyDescent="0.25">
      <c r="A33" s="8" t="s">
        <v>7</v>
      </c>
      <c r="B33" s="8" t="s">
        <v>7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15.75" thickBot="1" x14ac:dyDescent="0.3">
      <c r="A34" s="10" t="s">
        <v>7</v>
      </c>
      <c r="B34" s="10" t="s">
        <v>43</v>
      </c>
      <c r="C34" s="17">
        <f t="shared" ref="C34:K34" si="17">C30+C32</f>
        <v>-5684992.3309999928</v>
      </c>
      <c r="D34" s="17">
        <f t="shared" si="17"/>
        <v>0</v>
      </c>
      <c r="E34" s="17">
        <f t="shared" si="17"/>
        <v>-3208103.6240339964</v>
      </c>
      <c r="F34" s="17">
        <f t="shared" si="17"/>
        <v>-413438.38211500051</v>
      </c>
      <c r="G34" s="17">
        <f t="shared" si="17"/>
        <v>-777863.06813600019</v>
      </c>
      <c r="H34" s="17">
        <f t="shared" si="17"/>
        <v>-1786109.0818339989</v>
      </c>
      <c r="I34" s="17">
        <f t="shared" si="17"/>
        <v>-877682.58313200099</v>
      </c>
      <c r="J34" s="17">
        <f t="shared" si="17"/>
        <v>-2621795.5917490008</v>
      </c>
      <c r="K34" s="17">
        <f t="shared" si="17"/>
        <v>4000000</v>
      </c>
    </row>
    <row r="35" spans="1:11" ht="15.75" thickTop="1" x14ac:dyDescent="0.25">
      <c r="A35" s="8" t="s">
        <v>7</v>
      </c>
      <c r="B35" s="8" t="s">
        <v>7</v>
      </c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9" t="s">
        <v>7</v>
      </c>
      <c r="B36" s="11" t="s">
        <v>44</v>
      </c>
      <c r="C36" s="2">
        <f>C34-C244</f>
        <v>0</v>
      </c>
      <c r="D36" s="2">
        <f t="shared" ref="D36:K36" si="18">D34-D244</f>
        <v>0</v>
      </c>
      <c r="E36" s="2">
        <f t="shared" si="18"/>
        <v>0</v>
      </c>
      <c r="F36" s="2">
        <f t="shared" si="18"/>
        <v>0</v>
      </c>
      <c r="G36" s="2">
        <f t="shared" si="18"/>
        <v>-9.3132257461547852E-10</v>
      </c>
      <c r="H36" s="2">
        <f t="shared" si="18"/>
        <v>0</v>
      </c>
      <c r="I36" s="2">
        <f t="shared" si="18"/>
        <v>-9.3132257461547852E-10</v>
      </c>
      <c r="J36" s="2">
        <f t="shared" si="18"/>
        <v>0</v>
      </c>
      <c r="K36" s="2">
        <f t="shared" si="18"/>
        <v>0</v>
      </c>
    </row>
    <row r="37" spans="1:11" x14ac:dyDescent="0.25">
      <c r="A37" s="12" t="s">
        <v>7</v>
      </c>
      <c r="B37" s="11" t="s">
        <v>45</v>
      </c>
      <c r="C37" s="2">
        <f t="shared" ref="C37:K37" si="19">SUM(C39:C44)+SUM(C48:C57)+C61+SUM(C67:C68)+SUM(C72:C75)+SUM(C79:C80)+SUM(C84:C105)+C109+SUM(C114:C120)+SUM(C129:C134)+SUM(C138:C196)+SUM(C200:C207)+SUM(C211:C217)+C221+C225+SUM(C231:C233)+SUM(C239:C241)-C34</f>
        <v>0</v>
      </c>
      <c r="D37" s="2">
        <f t="shared" si="19"/>
        <v>1.229636836796999E-9</v>
      </c>
      <c r="E37" s="2">
        <f t="shared" si="19"/>
        <v>0</v>
      </c>
      <c r="F37" s="2">
        <f t="shared" si="19"/>
        <v>0</v>
      </c>
      <c r="G37" s="2">
        <f t="shared" si="19"/>
        <v>0</v>
      </c>
      <c r="H37" s="2">
        <f t="shared" si="19"/>
        <v>0</v>
      </c>
      <c r="I37" s="2">
        <f t="shared" si="19"/>
        <v>0</v>
      </c>
      <c r="J37" s="2">
        <f t="shared" si="19"/>
        <v>0</v>
      </c>
      <c r="K37" s="2">
        <f t="shared" si="19"/>
        <v>0</v>
      </c>
    </row>
    <row r="38" spans="1:11" x14ac:dyDescent="0.25">
      <c r="A38" s="9" t="s">
        <v>46</v>
      </c>
      <c r="B38" s="9" t="s">
        <v>47</v>
      </c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8" t="s">
        <v>48</v>
      </c>
      <c r="B39" s="8" t="s">
        <v>49</v>
      </c>
      <c r="C39" s="2">
        <f t="shared" ref="C39:C44" si="20">SUM(D39:K39)</f>
        <v>41002274</v>
      </c>
      <c r="D39" s="13"/>
      <c r="E39" s="2">
        <v>15736444</v>
      </c>
      <c r="F39" s="2">
        <v>186934</v>
      </c>
      <c r="G39" s="2">
        <v>5251146</v>
      </c>
      <c r="H39" s="2">
        <v>5034473</v>
      </c>
      <c r="I39" s="2">
        <v>7868222</v>
      </c>
      <c r="J39" s="2">
        <v>6925055</v>
      </c>
      <c r="K39" s="13"/>
    </row>
    <row r="40" spans="1:11" x14ac:dyDescent="0.25">
      <c r="A40" s="8" t="s">
        <v>50</v>
      </c>
      <c r="B40" s="8" t="s">
        <v>51</v>
      </c>
      <c r="C40" s="2">
        <f t="shared" si="20"/>
        <v>1883404</v>
      </c>
      <c r="D40" s="13"/>
      <c r="E40" s="2">
        <v>723150</v>
      </c>
      <c r="F40" s="13"/>
      <c r="G40" s="2">
        <v>241050</v>
      </c>
      <c r="H40" s="2">
        <v>276404</v>
      </c>
      <c r="I40" s="2">
        <v>321400</v>
      </c>
      <c r="J40" s="2">
        <v>321400</v>
      </c>
      <c r="K40" s="13"/>
    </row>
    <row r="41" spans="1:11" x14ac:dyDescent="0.25">
      <c r="A41" s="8" t="s">
        <v>52</v>
      </c>
      <c r="B41" s="8" t="s">
        <v>53</v>
      </c>
      <c r="C41" s="2">
        <f t="shared" si="20"/>
        <v>537285</v>
      </c>
      <c r="D41" s="13"/>
      <c r="E41" s="2">
        <v>168560</v>
      </c>
      <c r="F41" s="13"/>
      <c r="G41" s="2">
        <v>84280</v>
      </c>
      <c r="H41" s="2">
        <v>52675</v>
      </c>
      <c r="I41" s="2">
        <v>189630</v>
      </c>
      <c r="J41" s="2">
        <v>42140</v>
      </c>
      <c r="K41" s="13"/>
    </row>
    <row r="42" spans="1:11" x14ac:dyDescent="0.25">
      <c r="A42" s="8" t="s">
        <v>54</v>
      </c>
      <c r="B42" s="8" t="s">
        <v>55</v>
      </c>
      <c r="C42" s="2">
        <f t="shared" si="20"/>
        <v>3838318</v>
      </c>
      <c r="D42" s="13"/>
      <c r="E42" s="2">
        <v>2010580</v>
      </c>
      <c r="F42" s="13"/>
      <c r="G42" s="2">
        <v>812328</v>
      </c>
      <c r="H42" s="2">
        <v>304623</v>
      </c>
      <c r="I42" s="2">
        <v>304623</v>
      </c>
      <c r="J42" s="2">
        <v>406164</v>
      </c>
      <c r="K42" s="13"/>
    </row>
    <row r="43" spans="1:11" x14ac:dyDescent="0.25">
      <c r="A43" s="8" t="s">
        <v>56</v>
      </c>
      <c r="B43" s="8" t="s">
        <v>57</v>
      </c>
      <c r="C43" s="2">
        <f t="shared" si="20"/>
        <v>11157250</v>
      </c>
      <c r="D43" s="2">
        <v>2226850</v>
      </c>
      <c r="E43" s="2">
        <v>1786080</v>
      </c>
      <c r="F43" s="13"/>
      <c r="G43" s="2">
        <v>1786080</v>
      </c>
      <c r="H43" s="2">
        <v>1786080</v>
      </c>
      <c r="I43" s="2">
        <v>1786080</v>
      </c>
      <c r="J43" s="2">
        <v>1786080</v>
      </c>
      <c r="K43" s="13"/>
    </row>
    <row r="44" spans="1:11" x14ac:dyDescent="0.25">
      <c r="A44" s="8" t="s">
        <v>58</v>
      </c>
      <c r="B44" s="8" t="s">
        <v>59</v>
      </c>
      <c r="C44" s="2">
        <f t="shared" si="20"/>
        <v>4000000</v>
      </c>
      <c r="D44" s="13"/>
      <c r="E44" s="13"/>
      <c r="F44" s="13"/>
      <c r="G44" s="13"/>
      <c r="H44" s="13"/>
      <c r="I44" s="13"/>
      <c r="J44" s="13"/>
      <c r="K44" s="2">
        <v>4000000</v>
      </c>
    </row>
    <row r="45" spans="1:11" x14ac:dyDescent="0.25">
      <c r="A45" s="9" t="s">
        <v>60</v>
      </c>
      <c r="B45" s="9" t="s">
        <v>61</v>
      </c>
      <c r="C45" s="16">
        <f>SUM(C39:C44)</f>
        <v>62418531</v>
      </c>
      <c r="D45" s="16">
        <f t="shared" ref="D45:K45" si="21">SUM(D39:D44)</f>
        <v>2226850</v>
      </c>
      <c r="E45" s="16">
        <f t="shared" si="21"/>
        <v>20424814</v>
      </c>
      <c r="F45" s="16">
        <f t="shared" si="21"/>
        <v>186934</v>
      </c>
      <c r="G45" s="16">
        <f t="shared" si="21"/>
        <v>8174884</v>
      </c>
      <c r="H45" s="16">
        <f t="shared" si="21"/>
        <v>7454255</v>
      </c>
      <c r="I45" s="16">
        <f t="shared" si="21"/>
        <v>10469955</v>
      </c>
      <c r="J45" s="16">
        <f t="shared" si="21"/>
        <v>9480839</v>
      </c>
      <c r="K45" s="16">
        <f t="shared" si="21"/>
        <v>4000000</v>
      </c>
    </row>
    <row r="46" spans="1:11" x14ac:dyDescent="0.25">
      <c r="A46" s="8" t="s">
        <v>7</v>
      </c>
      <c r="B46" s="8" t="s">
        <v>7</v>
      </c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9" t="s">
        <v>62</v>
      </c>
      <c r="B47" s="9" t="s">
        <v>63</v>
      </c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5">
      <c r="A48" s="8" t="s">
        <v>64</v>
      </c>
      <c r="B48" s="8" t="s">
        <v>65</v>
      </c>
      <c r="C48" s="2">
        <f t="shared" ref="C48:C57" si="22">SUM(D48:K48)</f>
        <v>0</v>
      </c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8" t="s">
        <v>66</v>
      </c>
      <c r="B49" s="8" t="s">
        <v>67</v>
      </c>
      <c r="C49" s="2">
        <f t="shared" si="22"/>
        <v>0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8" t="s">
        <v>68</v>
      </c>
      <c r="B50" s="8" t="s">
        <v>69</v>
      </c>
      <c r="C50" s="2">
        <f t="shared" si="22"/>
        <v>50000</v>
      </c>
      <c r="D50" s="13"/>
      <c r="E50" s="2">
        <v>50000</v>
      </c>
      <c r="F50" s="13"/>
      <c r="G50" s="13"/>
      <c r="H50" s="13"/>
      <c r="I50" s="13"/>
      <c r="J50" s="13"/>
      <c r="K50" s="13"/>
    </row>
    <row r="51" spans="1:11" x14ac:dyDescent="0.25">
      <c r="A51" s="8" t="s">
        <v>70</v>
      </c>
      <c r="B51" s="8" t="s">
        <v>71</v>
      </c>
      <c r="C51" s="2">
        <f t="shared" si="22"/>
        <v>278162</v>
      </c>
      <c r="D51" s="13"/>
      <c r="E51" s="2">
        <v>50000</v>
      </c>
      <c r="F51" s="2">
        <v>210000</v>
      </c>
      <c r="G51" s="2">
        <v>18162</v>
      </c>
      <c r="H51" s="13"/>
      <c r="I51" s="13"/>
      <c r="J51" s="13"/>
      <c r="K51" s="13"/>
    </row>
    <row r="52" spans="1:11" x14ac:dyDescent="0.25">
      <c r="A52" s="8" t="s">
        <v>72</v>
      </c>
      <c r="B52" s="8" t="s">
        <v>73</v>
      </c>
      <c r="C52" s="2">
        <f t="shared" si="22"/>
        <v>22054</v>
      </c>
      <c r="D52" s="13"/>
      <c r="E52" s="2">
        <v>16000</v>
      </c>
      <c r="F52" s="13"/>
      <c r="G52" s="13"/>
      <c r="H52" s="13"/>
      <c r="I52" s="2">
        <v>6054</v>
      </c>
      <c r="J52" s="13"/>
      <c r="K52" s="13"/>
    </row>
    <row r="53" spans="1:11" x14ac:dyDescent="0.25">
      <c r="A53" s="8" t="s">
        <v>74</v>
      </c>
      <c r="B53" s="8" t="s">
        <v>75</v>
      </c>
      <c r="C53" s="2">
        <f t="shared" si="22"/>
        <v>27243</v>
      </c>
      <c r="D53" s="13"/>
      <c r="E53" s="13"/>
      <c r="F53" s="13"/>
      <c r="G53" s="13"/>
      <c r="H53" s="13"/>
      <c r="I53" s="13"/>
      <c r="J53" s="2">
        <v>27243</v>
      </c>
      <c r="K53" s="13"/>
    </row>
    <row r="54" spans="1:11" x14ac:dyDescent="0.25">
      <c r="A54" s="8" t="s">
        <v>76</v>
      </c>
      <c r="B54" s="8" t="s">
        <v>77</v>
      </c>
      <c r="C54" s="2">
        <f t="shared" si="22"/>
        <v>3576625</v>
      </c>
      <c r="D54" s="13"/>
      <c r="E54" s="2">
        <v>250000</v>
      </c>
      <c r="F54" s="2">
        <v>3050500</v>
      </c>
      <c r="G54" s="2">
        <v>150000</v>
      </c>
      <c r="H54" s="2">
        <v>50450</v>
      </c>
      <c r="I54" s="2">
        <v>75675</v>
      </c>
      <c r="J54" s="13"/>
      <c r="K54" s="13"/>
    </row>
    <row r="55" spans="1:11" x14ac:dyDescent="0.25">
      <c r="A55" s="8" t="s">
        <v>78</v>
      </c>
      <c r="B55" s="8" t="s">
        <v>79</v>
      </c>
      <c r="C55" s="2">
        <f t="shared" si="22"/>
        <v>235765</v>
      </c>
      <c r="D55" s="13"/>
      <c r="E55" s="2">
        <v>100000</v>
      </c>
      <c r="F55" s="13"/>
      <c r="G55" s="2">
        <v>50000</v>
      </c>
      <c r="H55" s="13"/>
      <c r="I55" s="2">
        <v>75675</v>
      </c>
      <c r="J55" s="2">
        <v>10090</v>
      </c>
      <c r="K55" s="13"/>
    </row>
    <row r="56" spans="1:11" x14ac:dyDescent="0.25">
      <c r="A56" s="8" t="s">
        <v>80</v>
      </c>
      <c r="B56" s="8" t="s">
        <v>81</v>
      </c>
      <c r="C56" s="2">
        <f t="shared" si="22"/>
        <v>1513.5</v>
      </c>
      <c r="D56" s="13"/>
      <c r="E56" s="13"/>
      <c r="F56" s="13"/>
      <c r="G56" s="13"/>
      <c r="H56" s="13"/>
      <c r="I56" s="2">
        <v>1513.5</v>
      </c>
      <c r="J56" s="13"/>
      <c r="K56" s="13"/>
    </row>
    <row r="57" spans="1:11" x14ac:dyDescent="0.25">
      <c r="A57" s="8" t="s">
        <v>82</v>
      </c>
      <c r="B57" s="8" t="s">
        <v>83</v>
      </c>
      <c r="C57" s="2">
        <f t="shared" si="22"/>
        <v>349549.56</v>
      </c>
      <c r="D57" s="13"/>
      <c r="E57" s="2">
        <v>20000</v>
      </c>
      <c r="F57" s="13"/>
      <c r="G57" s="2">
        <v>250000</v>
      </c>
      <c r="H57" s="13"/>
      <c r="I57" s="13"/>
      <c r="J57" s="2">
        <v>79549.56</v>
      </c>
      <c r="K57" s="13"/>
    </row>
    <row r="58" spans="1:11" x14ac:dyDescent="0.25">
      <c r="A58" s="9" t="s">
        <v>84</v>
      </c>
      <c r="B58" s="9" t="s">
        <v>12</v>
      </c>
      <c r="C58" s="16">
        <f>SUM(C48:C57)</f>
        <v>4540912.0599999996</v>
      </c>
      <c r="D58" s="16">
        <f t="shared" ref="D58:K58" si="23">SUM(D48:D57)</f>
        <v>0</v>
      </c>
      <c r="E58" s="16">
        <f t="shared" si="23"/>
        <v>486000</v>
      </c>
      <c r="F58" s="16">
        <f t="shared" si="23"/>
        <v>3260500</v>
      </c>
      <c r="G58" s="16">
        <f t="shared" si="23"/>
        <v>468162</v>
      </c>
      <c r="H58" s="16">
        <f t="shared" si="23"/>
        <v>50450</v>
      </c>
      <c r="I58" s="16">
        <f t="shared" si="23"/>
        <v>158917.5</v>
      </c>
      <c r="J58" s="16">
        <f t="shared" si="23"/>
        <v>116882.56</v>
      </c>
      <c r="K58" s="16">
        <f t="shared" si="23"/>
        <v>0</v>
      </c>
    </row>
    <row r="59" spans="1:11" x14ac:dyDescent="0.25">
      <c r="A59" s="8" t="s">
        <v>7</v>
      </c>
      <c r="B59" s="8" t="s">
        <v>7</v>
      </c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9" t="s">
        <v>85</v>
      </c>
      <c r="B60" s="9" t="s">
        <v>86</v>
      </c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5">
      <c r="A61" s="8" t="s">
        <v>87</v>
      </c>
      <c r="B61" s="8" t="s">
        <v>88</v>
      </c>
      <c r="C61" s="2">
        <f t="shared" ref="C61" si="24">SUM(D61:K61)</f>
        <v>574516.53</v>
      </c>
      <c r="D61" s="13"/>
      <c r="E61" s="2">
        <v>473616.53</v>
      </c>
      <c r="F61" s="13"/>
      <c r="G61" s="13"/>
      <c r="H61" s="2">
        <v>40360</v>
      </c>
      <c r="I61" s="13"/>
      <c r="J61" s="2">
        <v>60540</v>
      </c>
      <c r="K61" s="13"/>
    </row>
    <row r="62" spans="1:11" x14ac:dyDescent="0.25">
      <c r="A62" s="9" t="s">
        <v>89</v>
      </c>
      <c r="B62" s="9" t="s">
        <v>90</v>
      </c>
      <c r="C62" s="16">
        <f>C61</f>
        <v>574516.53</v>
      </c>
      <c r="D62" s="16">
        <f t="shared" ref="D62:K62" si="25">D61</f>
        <v>0</v>
      </c>
      <c r="E62" s="16">
        <f t="shared" si="25"/>
        <v>473616.53</v>
      </c>
      <c r="F62" s="16">
        <f t="shared" si="25"/>
        <v>0</v>
      </c>
      <c r="G62" s="16">
        <f t="shared" si="25"/>
        <v>0</v>
      </c>
      <c r="H62" s="16">
        <f t="shared" si="25"/>
        <v>40360</v>
      </c>
      <c r="I62" s="16">
        <f t="shared" si="25"/>
        <v>0</v>
      </c>
      <c r="J62" s="16">
        <f t="shared" si="25"/>
        <v>60540</v>
      </c>
      <c r="K62" s="16">
        <f t="shared" si="25"/>
        <v>0</v>
      </c>
    </row>
    <row r="63" spans="1:11" x14ac:dyDescent="0.25">
      <c r="A63" s="8" t="s">
        <v>7</v>
      </c>
      <c r="B63" s="8" t="s">
        <v>7</v>
      </c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9" t="s">
        <v>91</v>
      </c>
      <c r="B64" s="9" t="s">
        <v>92</v>
      </c>
      <c r="C64" s="16">
        <f>C62+C58+C45</f>
        <v>67533959.590000004</v>
      </c>
      <c r="D64" s="16">
        <f t="shared" ref="D64:K64" si="26">D62+D58+D45</f>
        <v>2226850</v>
      </c>
      <c r="E64" s="16">
        <f t="shared" si="26"/>
        <v>21384430.530000001</v>
      </c>
      <c r="F64" s="16">
        <f t="shared" si="26"/>
        <v>3447434</v>
      </c>
      <c r="G64" s="16">
        <f t="shared" si="26"/>
        <v>8643046</v>
      </c>
      <c r="H64" s="16">
        <f t="shared" si="26"/>
        <v>7545065</v>
      </c>
      <c r="I64" s="16">
        <f t="shared" si="26"/>
        <v>10628872.5</v>
      </c>
      <c r="J64" s="16">
        <f t="shared" si="26"/>
        <v>9658261.5600000005</v>
      </c>
      <c r="K64" s="16">
        <f t="shared" si="26"/>
        <v>4000000</v>
      </c>
    </row>
    <row r="65" spans="1:11" x14ac:dyDescent="0.25">
      <c r="A65" s="8" t="s">
        <v>7</v>
      </c>
      <c r="B65" s="8" t="s">
        <v>7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9" t="s">
        <v>93</v>
      </c>
      <c r="B66" s="9" t="s">
        <v>94</v>
      </c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8" t="s">
        <v>95</v>
      </c>
      <c r="B67" s="8" t="s">
        <v>96</v>
      </c>
      <c r="C67" s="2">
        <f t="shared" ref="C67:C68" si="27">SUM(D67:K67)</f>
        <v>0</v>
      </c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8" t="s">
        <v>97</v>
      </c>
      <c r="B68" s="8" t="s">
        <v>98</v>
      </c>
      <c r="C68" s="2">
        <f t="shared" si="27"/>
        <v>0</v>
      </c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9" t="s">
        <v>99</v>
      </c>
      <c r="B69" s="9" t="s">
        <v>100</v>
      </c>
      <c r="C69" s="16">
        <f>C68+C67</f>
        <v>0</v>
      </c>
      <c r="D69" s="16">
        <f t="shared" ref="D69:K69" si="28">D68+D67</f>
        <v>0</v>
      </c>
      <c r="E69" s="16">
        <f t="shared" si="28"/>
        <v>0</v>
      </c>
      <c r="F69" s="16">
        <f t="shared" si="28"/>
        <v>0</v>
      </c>
      <c r="G69" s="16">
        <f t="shared" si="28"/>
        <v>0</v>
      </c>
      <c r="H69" s="16">
        <f t="shared" si="28"/>
        <v>0</v>
      </c>
      <c r="I69" s="16">
        <f t="shared" si="28"/>
        <v>0</v>
      </c>
      <c r="J69" s="16">
        <f t="shared" si="28"/>
        <v>0</v>
      </c>
      <c r="K69" s="16">
        <f t="shared" si="28"/>
        <v>0</v>
      </c>
    </row>
    <row r="70" spans="1:11" x14ac:dyDescent="0.25">
      <c r="A70" s="8" t="s">
        <v>7</v>
      </c>
      <c r="B70" s="8" t="s">
        <v>7</v>
      </c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9" t="s">
        <v>101</v>
      </c>
      <c r="B71" s="9" t="s">
        <v>102</v>
      </c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5">
      <c r="A72" s="8" t="s">
        <v>103</v>
      </c>
      <c r="B72" s="8" t="s">
        <v>104</v>
      </c>
      <c r="C72" s="2">
        <f t="shared" ref="C72" si="29">SUM(D72:K72)</f>
        <v>0</v>
      </c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8" t="s">
        <v>105</v>
      </c>
      <c r="B73" s="8" t="s">
        <v>106</v>
      </c>
      <c r="C73" s="2">
        <f t="shared" ref="C73" si="30">SUM(D73:K73)</f>
        <v>-8072</v>
      </c>
      <c r="D73" s="13"/>
      <c r="E73" s="13"/>
      <c r="F73" s="13"/>
      <c r="G73" s="13"/>
      <c r="H73" s="2">
        <v>-8072</v>
      </c>
      <c r="I73" s="13"/>
      <c r="J73" s="13"/>
      <c r="K73" s="13"/>
    </row>
    <row r="74" spans="1:11" x14ac:dyDescent="0.25">
      <c r="A74" s="8" t="s">
        <v>107</v>
      </c>
      <c r="B74" s="8" t="s">
        <v>108</v>
      </c>
      <c r="C74" s="2">
        <f t="shared" ref="C74" si="31">SUM(D74:K74)</f>
        <v>-37998.94</v>
      </c>
      <c r="D74" s="13"/>
      <c r="E74" s="13"/>
      <c r="F74" s="13"/>
      <c r="G74" s="13"/>
      <c r="H74" s="13"/>
      <c r="I74" s="13"/>
      <c r="J74" s="2">
        <v>-37998.94</v>
      </c>
      <c r="K74" s="13"/>
    </row>
    <row r="75" spans="1:11" x14ac:dyDescent="0.25">
      <c r="A75" s="8" t="s">
        <v>109</v>
      </c>
      <c r="B75" s="8" t="s">
        <v>110</v>
      </c>
      <c r="C75" s="2">
        <f t="shared" ref="C75" si="32">SUM(D75:K75)</f>
        <v>-104040.87</v>
      </c>
      <c r="D75" s="13"/>
      <c r="E75" s="2">
        <v>-7000</v>
      </c>
      <c r="F75" s="2">
        <v>-5545.87</v>
      </c>
      <c r="G75" s="2">
        <v>-36000</v>
      </c>
      <c r="H75" s="2">
        <v>-5045</v>
      </c>
      <c r="I75" s="13"/>
      <c r="J75" s="2">
        <v>-50450</v>
      </c>
      <c r="K75" s="13"/>
    </row>
    <row r="76" spans="1:11" x14ac:dyDescent="0.25">
      <c r="A76" s="9" t="s">
        <v>111</v>
      </c>
      <c r="B76" s="9" t="s">
        <v>112</v>
      </c>
      <c r="C76" s="16">
        <f>SUM(C72:C75)</f>
        <v>-150111.81</v>
      </c>
      <c r="D76" s="16">
        <f t="shared" ref="D76:K76" si="33">SUM(D72:D75)</f>
        <v>0</v>
      </c>
      <c r="E76" s="16">
        <f t="shared" si="33"/>
        <v>-7000</v>
      </c>
      <c r="F76" s="16">
        <f t="shared" si="33"/>
        <v>-5545.87</v>
      </c>
      <c r="G76" s="16">
        <f t="shared" si="33"/>
        <v>-36000</v>
      </c>
      <c r="H76" s="16">
        <f t="shared" si="33"/>
        <v>-13117</v>
      </c>
      <c r="I76" s="16">
        <f t="shared" si="33"/>
        <v>0</v>
      </c>
      <c r="J76" s="16">
        <f t="shared" si="33"/>
        <v>-88448.94</v>
      </c>
      <c r="K76" s="16">
        <f t="shared" si="33"/>
        <v>0</v>
      </c>
    </row>
    <row r="77" spans="1:11" x14ac:dyDescent="0.25">
      <c r="A77" s="8" t="s">
        <v>7</v>
      </c>
      <c r="B77" s="8" t="s">
        <v>7</v>
      </c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9" t="s">
        <v>113</v>
      </c>
      <c r="B78" s="9" t="s">
        <v>114</v>
      </c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5">
      <c r="A79" s="8" t="s">
        <v>115</v>
      </c>
      <c r="B79" s="8" t="s">
        <v>116</v>
      </c>
      <c r="C79" s="2">
        <f t="shared" ref="C79:C80" si="34">SUM(D79:K79)</f>
        <v>0</v>
      </c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8" t="s">
        <v>117</v>
      </c>
      <c r="B80" s="8" t="s">
        <v>118</v>
      </c>
      <c r="C80" s="2">
        <f t="shared" si="34"/>
        <v>0</v>
      </c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9" t="s">
        <v>119</v>
      </c>
      <c r="B81" s="9" t="s">
        <v>120</v>
      </c>
      <c r="C81" s="16">
        <f>C80+C79</f>
        <v>0</v>
      </c>
      <c r="D81" s="16">
        <f t="shared" ref="D81:K81" si="35">D80+D79</f>
        <v>0</v>
      </c>
      <c r="E81" s="16">
        <f t="shared" si="35"/>
        <v>0</v>
      </c>
      <c r="F81" s="16">
        <f t="shared" si="35"/>
        <v>0</v>
      </c>
      <c r="G81" s="16">
        <f t="shared" si="35"/>
        <v>0</v>
      </c>
      <c r="H81" s="16">
        <f t="shared" si="35"/>
        <v>0</v>
      </c>
      <c r="I81" s="16">
        <f t="shared" si="35"/>
        <v>0</v>
      </c>
      <c r="J81" s="16">
        <f t="shared" si="35"/>
        <v>0</v>
      </c>
      <c r="K81" s="16">
        <f t="shared" si="35"/>
        <v>0</v>
      </c>
    </row>
    <row r="82" spans="1:11" x14ac:dyDescent="0.25">
      <c r="A82" s="8" t="s">
        <v>7</v>
      </c>
      <c r="B82" s="8" t="s">
        <v>7</v>
      </c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9" t="s">
        <v>121</v>
      </c>
      <c r="B83" s="9" t="s">
        <v>25</v>
      </c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5">
      <c r="A84" s="8" t="s">
        <v>122</v>
      </c>
      <c r="B84" s="8" t="s">
        <v>123</v>
      </c>
      <c r="C84" s="2">
        <f t="shared" ref="C84:C105" si="36">SUM(D84:K84)</f>
        <v>0</v>
      </c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8" t="s">
        <v>124</v>
      </c>
      <c r="B85" s="8" t="s">
        <v>125</v>
      </c>
      <c r="C85" s="2">
        <f t="shared" si="36"/>
        <v>-860000</v>
      </c>
      <c r="D85" s="2">
        <v>-860000</v>
      </c>
      <c r="E85" s="13"/>
      <c r="F85" s="13"/>
      <c r="G85" s="13"/>
      <c r="H85" s="13"/>
      <c r="I85" s="13"/>
      <c r="J85" s="13"/>
      <c r="K85" s="13"/>
    </row>
    <row r="86" spans="1:11" x14ac:dyDescent="0.25">
      <c r="A86" s="8" t="s">
        <v>126</v>
      </c>
      <c r="B86" s="8" t="s">
        <v>127</v>
      </c>
      <c r="C86" s="2">
        <f t="shared" si="36"/>
        <v>0</v>
      </c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8" t="s">
        <v>128</v>
      </c>
      <c r="B87" s="8" t="s">
        <v>129</v>
      </c>
      <c r="C87" s="2">
        <f t="shared" si="36"/>
        <v>0</v>
      </c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8" t="s">
        <v>130</v>
      </c>
      <c r="B88" s="8" t="s">
        <v>131</v>
      </c>
      <c r="C88" s="2">
        <f t="shared" si="36"/>
        <v>0</v>
      </c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8" t="s">
        <v>132</v>
      </c>
      <c r="B89" s="8" t="s">
        <v>133</v>
      </c>
      <c r="C89" s="2">
        <f t="shared" si="36"/>
        <v>-43255839.850000001</v>
      </c>
      <c r="D89" s="2">
        <v>-5955773.2800000003</v>
      </c>
      <c r="E89" s="2">
        <v>-13755498.460000001</v>
      </c>
      <c r="F89" s="2">
        <v>-2209816.2400000002</v>
      </c>
      <c r="G89" s="2">
        <v>-5319476.92</v>
      </c>
      <c r="H89" s="2">
        <v>-4908616.18</v>
      </c>
      <c r="I89" s="2">
        <v>-5570559.0099999998</v>
      </c>
      <c r="J89" s="2">
        <v>-5536099.7599999998</v>
      </c>
      <c r="K89" s="13"/>
    </row>
    <row r="90" spans="1:11" x14ac:dyDescent="0.25">
      <c r="A90" s="8" t="s">
        <v>134</v>
      </c>
      <c r="B90" s="8" t="s">
        <v>135</v>
      </c>
      <c r="C90" s="2">
        <f t="shared" si="36"/>
        <v>0</v>
      </c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8" t="s">
        <v>136</v>
      </c>
      <c r="B91" s="8" t="s">
        <v>137</v>
      </c>
      <c r="C91" s="2">
        <f t="shared" si="36"/>
        <v>0</v>
      </c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8" t="s">
        <v>138</v>
      </c>
      <c r="B92" s="8" t="s">
        <v>139</v>
      </c>
      <c r="C92" s="2">
        <f t="shared" si="36"/>
        <v>0</v>
      </c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8" t="s">
        <v>140</v>
      </c>
      <c r="B93" s="8" t="s">
        <v>141</v>
      </c>
      <c r="C93" s="2">
        <f t="shared" si="36"/>
        <v>0</v>
      </c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8" t="s">
        <v>142</v>
      </c>
      <c r="B94" s="8" t="s">
        <v>143</v>
      </c>
      <c r="C94" s="2">
        <f t="shared" si="36"/>
        <v>0</v>
      </c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8" t="s">
        <v>144</v>
      </c>
      <c r="B95" s="8" t="s">
        <v>145</v>
      </c>
      <c r="C95" s="2">
        <f t="shared" si="36"/>
        <v>0</v>
      </c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8" t="s">
        <v>146</v>
      </c>
      <c r="B96" s="8" t="s">
        <v>147</v>
      </c>
      <c r="C96" s="2">
        <f t="shared" si="36"/>
        <v>0</v>
      </c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8" t="s">
        <v>148</v>
      </c>
      <c r="B97" s="8" t="s">
        <v>149</v>
      </c>
      <c r="C97" s="2">
        <f t="shared" si="36"/>
        <v>0</v>
      </c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8" t="s">
        <v>150</v>
      </c>
      <c r="B98" s="8" t="s">
        <v>151</v>
      </c>
      <c r="C98" s="2">
        <f t="shared" si="36"/>
        <v>0</v>
      </c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8" t="s">
        <v>152</v>
      </c>
      <c r="B99" s="8" t="s">
        <v>153</v>
      </c>
      <c r="C99" s="2">
        <f t="shared" si="36"/>
        <v>0</v>
      </c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8" t="s">
        <v>154</v>
      </c>
      <c r="B100" s="8" t="s">
        <v>155</v>
      </c>
      <c r="C100" s="2">
        <f t="shared" si="36"/>
        <v>0</v>
      </c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8" t="s">
        <v>156</v>
      </c>
      <c r="B101" s="8" t="s">
        <v>157</v>
      </c>
      <c r="C101" s="2">
        <f t="shared" si="36"/>
        <v>-80000</v>
      </c>
      <c r="D101" s="2">
        <v>-80000</v>
      </c>
      <c r="E101" s="13"/>
      <c r="F101" s="13"/>
      <c r="G101" s="13"/>
      <c r="H101" s="13"/>
      <c r="I101" s="13"/>
      <c r="J101" s="13"/>
      <c r="K101" s="13"/>
    </row>
    <row r="102" spans="1:11" x14ac:dyDescent="0.25">
      <c r="A102" s="8" t="s">
        <v>158</v>
      </c>
      <c r="B102" s="8" t="s">
        <v>159</v>
      </c>
      <c r="C102" s="2">
        <f t="shared" si="36"/>
        <v>0</v>
      </c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8" t="s">
        <v>160</v>
      </c>
      <c r="B103" s="8" t="s">
        <v>161</v>
      </c>
      <c r="C103" s="2">
        <f t="shared" si="36"/>
        <v>0</v>
      </c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8" t="s">
        <v>162</v>
      </c>
      <c r="B104" s="8" t="s">
        <v>163</v>
      </c>
      <c r="C104" s="2">
        <f t="shared" si="36"/>
        <v>0</v>
      </c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8" t="s">
        <v>164</v>
      </c>
      <c r="B105" s="8" t="s">
        <v>165</v>
      </c>
      <c r="C105" s="2">
        <f t="shared" si="36"/>
        <v>0</v>
      </c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9" t="s">
        <v>166</v>
      </c>
      <c r="B106" s="9" t="s">
        <v>167</v>
      </c>
      <c r="C106" s="16">
        <f>SUM(C84:C105)</f>
        <v>-44195839.850000001</v>
      </c>
      <c r="D106" s="16">
        <f t="shared" ref="D106:K106" si="37">SUM(D84:D105)</f>
        <v>-6895773.2800000003</v>
      </c>
      <c r="E106" s="16">
        <f t="shared" si="37"/>
        <v>-13755498.460000001</v>
      </c>
      <c r="F106" s="16">
        <f t="shared" si="37"/>
        <v>-2209816.2400000002</v>
      </c>
      <c r="G106" s="16">
        <f t="shared" si="37"/>
        <v>-5319476.92</v>
      </c>
      <c r="H106" s="16">
        <f t="shared" si="37"/>
        <v>-4908616.18</v>
      </c>
      <c r="I106" s="16">
        <f t="shared" si="37"/>
        <v>-5570559.0099999998</v>
      </c>
      <c r="J106" s="16">
        <f t="shared" si="37"/>
        <v>-5536099.7599999998</v>
      </c>
      <c r="K106" s="16">
        <f t="shared" si="37"/>
        <v>0</v>
      </c>
    </row>
    <row r="107" spans="1:11" x14ac:dyDescent="0.25">
      <c r="A107" s="8" t="s">
        <v>7</v>
      </c>
      <c r="B107" s="8" t="s">
        <v>7</v>
      </c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9" t="s">
        <v>168</v>
      </c>
      <c r="B108" s="9" t="s">
        <v>169</v>
      </c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 x14ac:dyDescent="0.25">
      <c r="A109" s="8" t="s">
        <v>170</v>
      </c>
      <c r="B109" s="8" t="s">
        <v>169</v>
      </c>
      <c r="C109" s="2">
        <f>SUM(D109:K109)</f>
        <v>-8828726.4299999997</v>
      </c>
      <c r="D109" s="2">
        <v>-1245887.28</v>
      </c>
      <c r="E109" s="2">
        <v>-2790136.56</v>
      </c>
      <c r="F109" s="2">
        <v>-462271.83</v>
      </c>
      <c r="G109" s="2">
        <v>-1080178.1000000001</v>
      </c>
      <c r="H109" s="2">
        <v>-1002924.34</v>
      </c>
      <c r="I109" s="2">
        <v>-1124008.2</v>
      </c>
      <c r="J109" s="2">
        <v>-1123320.1200000001</v>
      </c>
      <c r="K109" s="13"/>
    </row>
    <row r="110" spans="1:11" x14ac:dyDescent="0.25">
      <c r="A110" s="8" t="s">
        <v>171</v>
      </c>
      <c r="B110" s="8" t="s">
        <v>172</v>
      </c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9" t="s">
        <v>173</v>
      </c>
      <c r="B111" s="9" t="s">
        <v>174</v>
      </c>
      <c r="C111" s="16">
        <f>C109+C110</f>
        <v>-8828726.4299999997</v>
      </c>
      <c r="D111" s="16">
        <f t="shared" ref="D111:K111" si="38">D109+D110</f>
        <v>-1245887.28</v>
      </c>
      <c r="E111" s="16">
        <f t="shared" si="38"/>
        <v>-2790136.56</v>
      </c>
      <c r="F111" s="16">
        <f t="shared" si="38"/>
        <v>-462271.83</v>
      </c>
      <c r="G111" s="16">
        <f t="shared" si="38"/>
        <v>-1080178.1000000001</v>
      </c>
      <c r="H111" s="16">
        <f t="shared" si="38"/>
        <v>-1002924.34</v>
      </c>
      <c r="I111" s="16">
        <f t="shared" si="38"/>
        <v>-1124008.2</v>
      </c>
      <c r="J111" s="16">
        <f t="shared" si="38"/>
        <v>-1123320.1200000001</v>
      </c>
      <c r="K111" s="16">
        <f t="shared" si="38"/>
        <v>0</v>
      </c>
    </row>
    <row r="112" spans="1:11" x14ac:dyDescent="0.25">
      <c r="A112" s="8" t="s">
        <v>7</v>
      </c>
      <c r="B112" s="8" t="s">
        <v>7</v>
      </c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9" t="s">
        <v>175</v>
      </c>
      <c r="B113" s="9" t="s">
        <v>176</v>
      </c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 x14ac:dyDescent="0.25">
      <c r="A114" s="8" t="s">
        <v>177</v>
      </c>
      <c r="B114" s="8" t="s">
        <v>178</v>
      </c>
      <c r="C114" s="2">
        <f t="shared" ref="C114:C120" si="39">SUM(D114:K114)</f>
        <v>8064168.9000000004</v>
      </c>
      <c r="D114" s="2">
        <v>3098706.42</v>
      </c>
      <c r="E114" s="2">
        <v>2736110.95</v>
      </c>
      <c r="F114" s="18">
        <v>557317.18999999994</v>
      </c>
      <c r="G114" s="2">
        <v>967146.36</v>
      </c>
      <c r="H114" s="2">
        <v>340291.56</v>
      </c>
      <c r="I114" s="2">
        <v>364596.42</v>
      </c>
      <c r="J114" s="13"/>
      <c r="K114" s="13"/>
    </row>
    <row r="115" spans="1:11" x14ac:dyDescent="0.25">
      <c r="A115" s="8" t="s">
        <v>179</v>
      </c>
      <c r="B115" s="8" t="s">
        <v>180</v>
      </c>
      <c r="C115" s="2">
        <f t="shared" si="39"/>
        <v>0</v>
      </c>
      <c r="D115" s="13"/>
      <c r="E115" s="13"/>
      <c r="F115" s="18"/>
      <c r="G115" s="13"/>
      <c r="H115" s="13"/>
      <c r="I115" s="13"/>
      <c r="J115" s="13"/>
      <c r="K115" s="13"/>
    </row>
    <row r="116" spans="1:11" x14ac:dyDescent="0.25">
      <c r="A116" s="8" t="s">
        <v>181</v>
      </c>
      <c r="B116" s="8" t="s">
        <v>182</v>
      </c>
      <c r="C116" s="2">
        <f t="shared" si="39"/>
        <v>0</v>
      </c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8" t="s">
        <v>183</v>
      </c>
      <c r="B117" s="8" t="s">
        <v>184</v>
      </c>
      <c r="C117" s="2">
        <f t="shared" si="39"/>
        <v>98312.75</v>
      </c>
      <c r="D117" s="13"/>
      <c r="E117" s="13"/>
      <c r="F117" s="13"/>
      <c r="G117" s="13"/>
      <c r="H117" s="13"/>
      <c r="I117" s="13"/>
      <c r="J117" s="2">
        <v>98312.75</v>
      </c>
      <c r="K117" s="13"/>
    </row>
    <row r="118" spans="1:11" x14ac:dyDescent="0.25">
      <c r="A118" s="8" t="s">
        <v>185</v>
      </c>
      <c r="B118" s="8" t="s">
        <v>186</v>
      </c>
      <c r="C118" s="2">
        <f t="shared" si="39"/>
        <v>0</v>
      </c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8" t="s">
        <v>187</v>
      </c>
      <c r="B119" s="8" t="s">
        <v>188</v>
      </c>
      <c r="C119" s="2">
        <f t="shared" si="39"/>
        <v>104040</v>
      </c>
      <c r="D119" s="13"/>
      <c r="E119" s="13"/>
      <c r="F119" s="2">
        <v>104040</v>
      </c>
      <c r="G119" s="13"/>
      <c r="H119" s="13"/>
      <c r="I119" s="13"/>
      <c r="J119" s="13"/>
      <c r="K119" s="13"/>
    </row>
    <row r="120" spans="1:11" x14ac:dyDescent="0.25">
      <c r="A120" s="8" t="s">
        <v>189</v>
      </c>
      <c r="B120" s="8" t="s">
        <v>190</v>
      </c>
      <c r="C120" s="2">
        <f t="shared" si="39"/>
        <v>122575.45</v>
      </c>
      <c r="D120" s="2">
        <v>122575.45</v>
      </c>
      <c r="E120" s="13"/>
      <c r="F120" s="13"/>
      <c r="G120" s="13"/>
      <c r="H120" s="13"/>
      <c r="I120" s="13"/>
      <c r="J120" s="13"/>
      <c r="K120" s="13"/>
    </row>
    <row r="121" spans="1:11" x14ac:dyDescent="0.25">
      <c r="A121" s="9" t="s">
        <v>191</v>
      </c>
      <c r="B121" s="9" t="s">
        <v>192</v>
      </c>
      <c r="C121" s="16">
        <f>SUM(C114:C120)</f>
        <v>8389097.0999999996</v>
      </c>
      <c r="D121" s="16">
        <f t="shared" ref="D121:K121" si="40">SUM(D114:D120)</f>
        <v>3221281.87</v>
      </c>
      <c r="E121" s="16">
        <f t="shared" si="40"/>
        <v>2736110.95</v>
      </c>
      <c r="F121" s="16">
        <f t="shared" si="40"/>
        <v>661357.18999999994</v>
      </c>
      <c r="G121" s="16">
        <f t="shared" si="40"/>
        <v>967146.36</v>
      </c>
      <c r="H121" s="16">
        <f t="shared" si="40"/>
        <v>340291.56</v>
      </c>
      <c r="I121" s="16">
        <f t="shared" si="40"/>
        <v>364596.42</v>
      </c>
      <c r="J121" s="16">
        <f t="shared" si="40"/>
        <v>98312.75</v>
      </c>
      <c r="K121" s="16">
        <f t="shared" si="40"/>
        <v>0</v>
      </c>
    </row>
    <row r="122" spans="1:11" x14ac:dyDescent="0.25">
      <c r="A122" s="9" t="s">
        <v>193</v>
      </c>
      <c r="B122" s="9" t="s">
        <v>194</v>
      </c>
      <c r="C122" s="16">
        <f>C106+C111+C121</f>
        <v>-44635469.18</v>
      </c>
      <c r="D122" s="16">
        <f t="shared" ref="D122:K122" si="41">D106+D111+D121</f>
        <v>-4920378.6900000004</v>
      </c>
      <c r="E122" s="16">
        <f t="shared" si="41"/>
        <v>-13809524.07</v>
      </c>
      <c r="F122" s="16">
        <f t="shared" si="41"/>
        <v>-2010730.8800000004</v>
      </c>
      <c r="G122" s="16">
        <f t="shared" si="41"/>
        <v>-5432508.6599999992</v>
      </c>
      <c r="H122" s="16">
        <f t="shared" si="41"/>
        <v>-5571248.96</v>
      </c>
      <c r="I122" s="16">
        <f t="shared" si="41"/>
        <v>-6329970.79</v>
      </c>
      <c r="J122" s="16">
        <f t="shared" si="41"/>
        <v>-6561107.1299999999</v>
      </c>
      <c r="K122" s="16">
        <f t="shared" si="41"/>
        <v>0</v>
      </c>
    </row>
    <row r="123" spans="1:11" x14ac:dyDescent="0.25">
      <c r="A123" s="8" t="s">
        <v>7</v>
      </c>
      <c r="B123" s="8" t="s">
        <v>7</v>
      </c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9" t="s">
        <v>195</v>
      </c>
      <c r="B124" s="9" t="s">
        <v>196</v>
      </c>
      <c r="C124" s="16">
        <f>C122+C81+C76+C69</f>
        <v>-44785580.990000002</v>
      </c>
      <c r="D124" s="16">
        <f t="shared" ref="D124:K124" si="42">D122+D81+D76+D69</f>
        <v>-4920378.6900000004</v>
      </c>
      <c r="E124" s="16">
        <f t="shared" si="42"/>
        <v>-13816524.07</v>
      </c>
      <c r="F124" s="16">
        <f t="shared" si="42"/>
        <v>-2016276.7500000005</v>
      </c>
      <c r="G124" s="16">
        <f t="shared" si="42"/>
        <v>-5468508.6599999992</v>
      </c>
      <c r="H124" s="16">
        <f t="shared" si="42"/>
        <v>-5584365.96</v>
      </c>
      <c r="I124" s="16">
        <f t="shared" si="42"/>
        <v>-6329970.79</v>
      </c>
      <c r="J124" s="16">
        <f t="shared" si="42"/>
        <v>-6649556.0700000003</v>
      </c>
      <c r="K124" s="16">
        <f t="shared" si="42"/>
        <v>0</v>
      </c>
    </row>
    <row r="125" spans="1:11" x14ac:dyDescent="0.25">
      <c r="A125" s="8" t="s">
        <v>7</v>
      </c>
      <c r="B125" s="8" t="s">
        <v>7</v>
      </c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9" t="s">
        <v>197</v>
      </c>
      <c r="B126" s="9" t="s">
        <v>198</v>
      </c>
      <c r="C126" s="16">
        <f t="shared" ref="C126:K126" si="43">C64+C124</f>
        <v>22748378.600000001</v>
      </c>
      <c r="D126" s="16">
        <f t="shared" si="43"/>
        <v>-2693528.6900000004</v>
      </c>
      <c r="E126" s="16">
        <f t="shared" si="43"/>
        <v>7567906.4600000009</v>
      </c>
      <c r="F126" s="16">
        <f t="shared" si="43"/>
        <v>1431157.2499999995</v>
      </c>
      <c r="G126" s="16">
        <f t="shared" si="43"/>
        <v>3174537.3400000008</v>
      </c>
      <c r="H126" s="16">
        <f t="shared" si="43"/>
        <v>1960699.04</v>
      </c>
      <c r="I126" s="16">
        <f t="shared" si="43"/>
        <v>4298901.71</v>
      </c>
      <c r="J126" s="16">
        <f t="shared" si="43"/>
        <v>3008705.49</v>
      </c>
      <c r="K126" s="16">
        <f t="shared" si="43"/>
        <v>4000000</v>
      </c>
    </row>
    <row r="127" spans="1:11" x14ac:dyDescent="0.25">
      <c r="A127" s="8" t="s">
        <v>7</v>
      </c>
      <c r="B127" s="8" t="s">
        <v>7</v>
      </c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9" t="s">
        <v>199</v>
      </c>
      <c r="B128" s="9" t="s">
        <v>200</v>
      </c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 x14ac:dyDescent="0.25">
      <c r="A129" s="8" t="s">
        <v>201</v>
      </c>
      <c r="B129" s="8" t="s">
        <v>202</v>
      </c>
      <c r="C129" s="2">
        <f t="shared" ref="C129:C134" si="44">SUM(D129:K129)</f>
        <v>455358.33999999997</v>
      </c>
      <c r="D129" s="2">
        <v>50000</v>
      </c>
      <c r="E129" s="2">
        <v>115000</v>
      </c>
      <c r="F129" s="13"/>
      <c r="G129" s="2">
        <v>116100</v>
      </c>
      <c r="H129" s="2">
        <v>25225</v>
      </c>
      <c r="I129" s="2">
        <v>45405</v>
      </c>
      <c r="J129" s="2">
        <v>103628.34</v>
      </c>
      <c r="K129" s="13"/>
    </row>
    <row r="130" spans="1:11" x14ac:dyDescent="0.25">
      <c r="A130" s="8" t="s">
        <v>203</v>
      </c>
      <c r="B130" s="8" t="s">
        <v>204</v>
      </c>
      <c r="C130" s="2">
        <f t="shared" si="44"/>
        <v>70436.92</v>
      </c>
      <c r="D130" s="13"/>
      <c r="E130" s="2">
        <v>60000</v>
      </c>
      <c r="F130" s="13"/>
      <c r="G130" s="13"/>
      <c r="H130" s="13"/>
      <c r="I130" s="2">
        <v>7567.5</v>
      </c>
      <c r="J130" s="2">
        <v>2869.42</v>
      </c>
      <c r="K130" s="13"/>
    </row>
    <row r="131" spans="1:11" x14ac:dyDescent="0.25">
      <c r="A131" s="8" t="s">
        <v>205</v>
      </c>
      <c r="B131" s="8" t="s">
        <v>206</v>
      </c>
      <c r="C131" s="2">
        <f t="shared" si="44"/>
        <v>15135</v>
      </c>
      <c r="D131" s="13"/>
      <c r="E131" s="13"/>
      <c r="F131" s="13"/>
      <c r="G131" s="13"/>
      <c r="H131" s="13"/>
      <c r="I131" s="2">
        <v>15135</v>
      </c>
      <c r="J131" s="13"/>
      <c r="K131" s="13"/>
    </row>
    <row r="132" spans="1:11" x14ac:dyDescent="0.25">
      <c r="A132" s="8" t="s">
        <v>207</v>
      </c>
      <c r="B132" s="8" t="s">
        <v>208</v>
      </c>
      <c r="C132" s="2">
        <f t="shared" si="44"/>
        <v>0</v>
      </c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8" t="s">
        <v>209</v>
      </c>
      <c r="B133" s="8" t="s">
        <v>210</v>
      </c>
      <c r="C133" s="2">
        <f t="shared" si="44"/>
        <v>0</v>
      </c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8" t="s">
        <v>211</v>
      </c>
      <c r="B134" s="8" t="s">
        <v>212</v>
      </c>
      <c r="C134" s="2">
        <f t="shared" si="44"/>
        <v>0</v>
      </c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9" t="s">
        <v>213</v>
      </c>
      <c r="B135" s="9" t="s">
        <v>214</v>
      </c>
      <c r="C135" s="16">
        <f>SUM(C129:C134)</f>
        <v>540930.26</v>
      </c>
      <c r="D135" s="16">
        <f t="shared" ref="D135:K135" si="45">SUM(D129:D134)</f>
        <v>50000</v>
      </c>
      <c r="E135" s="16">
        <f t="shared" si="45"/>
        <v>175000</v>
      </c>
      <c r="F135" s="16">
        <f t="shared" si="45"/>
        <v>0</v>
      </c>
      <c r="G135" s="16">
        <f t="shared" si="45"/>
        <v>116100</v>
      </c>
      <c r="H135" s="16">
        <f t="shared" si="45"/>
        <v>25225</v>
      </c>
      <c r="I135" s="16">
        <f t="shared" si="45"/>
        <v>68107.5</v>
      </c>
      <c r="J135" s="16">
        <f t="shared" si="45"/>
        <v>106497.76</v>
      </c>
      <c r="K135" s="16">
        <f t="shared" si="45"/>
        <v>0</v>
      </c>
    </row>
    <row r="136" spans="1:11" x14ac:dyDescent="0.25">
      <c r="A136" s="8" t="s">
        <v>7</v>
      </c>
      <c r="B136" s="8" t="s">
        <v>7</v>
      </c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9" t="s">
        <v>215</v>
      </c>
      <c r="B137" s="9" t="s">
        <v>216</v>
      </c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x14ac:dyDescent="0.25">
      <c r="A138" s="8" t="s">
        <v>217</v>
      </c>
      <c r="B138" s="8" t="s">
        <v>218</v>
      </c>
      <c r="C138" s="2">
        <f t="shared" ref="C138:C196" si="46">SUM(D138:K138)</f>
        <v>-2000000</v>
      </c>
      <c r="D138" s="2">
        <v>-2000000</v>
      </c>
      <c r="E138" s="13"/>
      <c r="F138" s="13"/>
      <c r="G138" s="13"/>
      <c r="H138" s="13"/>
      <c r="I138" s="13"/>
      <c r="J138" s="13"/>
      <c r="K138" s="13"/>
    </row>
    <row r="139" spans="1:11" x14ac:dyDescent="0.25">
      <c r="A139" s="8" t="s">
        <v>219</v>
      </c>
      <c r="B139" s="8" t="s">
        <v>220</v>
      </c>
      <c r="C139" s="2">
        <f t="shared" si="46"/>
        <v>0</v>
      </c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8" t="s">
        <v>221</v>
      </c>
      <c r="B140" s="8" t="s">
        <v>222</v>
      </c>
      <c r="C140" s="2">
        <f t="shared" si="46"/>
        <v>-15552402.470000001</v>
      </c>
      <c r="D140" s="13"/>
      <c r="E140" s="2">
        <f>-D141*0.3822</f>
        <v>-5944128.2240340002</v>
      </c>
      <c r="F140" s="2">
        <f>D141*-1*0.0045</f>
        <v>-69985.811115000004</v>
      </c>
      <c r="G140" s="2">
        <f>D141*-0.1288</f>
        <v>-2003149.438136</v>
      </c>
      <c r="H140" s="2">
        <f>D141*-0.1222</f>
        <v>-1900503.5818340001</v>
      </c>
      <c r="I140" s="2">
        <f>D141*-0.1956</f>
        <v>-3042049.923132</v>
      </c>
      <c r="J140" s="2">
        <f>D141*-0.1667</f>
        <v>-2592585.4917489998</v>
      </c>
      <c r="K140" s="13"/>
    </row>
    <row r="141" spans="1:11" x14ac:dyDescent="0.25">
      <c r="A141" s="8" t="s">
        <v>223</v>
      </c>
      <c r="B141" s="8" t="s">
        <v>224</v>
      </c>
      <c r="C141" s="2">
        <f t="shared" si="46"/>
        <v>15552402.470000001</v>
      </c>
      <c r="D141" s="13">
        <v>15552402.470000001</v>
      </c>
      <c r="E141" s="13"/>
      <c r="F141" s="13"/>
      <c r="G141" s="13"/>
      <c r="H141" s="13"/>
      <c r="I141" s="13"/>
      <c r="J141" s="13"/>
      <c r="K141" s="13"/>
    </row>
    <row r="142" spans="1:11" x14ac:dyDescent="0.25">
      <c r="A142" s="8" t="s">
        <v>225</v>
      </c>
      <c r="B142" s="8" t="s">
        <v>226</v>
      </c>
      <c r="C142" s="2">
        <f t="shared" si="46"/>
        <v>-26545</v>
      </c>
      <c r="D142" s="2">
        <v>-4000</v>
      </c>
      <c r="E142" s="2">
        <v>-12500</v>
      </c>
      <c r="F142" s="18">
        <v>-5045</v>
      </c>
      <c r="G142" s="2">
        <v>-5000</v>
      </c>
      <c r="H142" s="13"/>
      <c r="I142" s="13"/>
      <c r="J142" s="13"/>
      <c r="K142" s="13"/>
    </row>
    <row r="143" spans="1:11" x14ac:dyDescent="0.25">
      <c r="A143" s="8" t="s">
        <v>227</v>
      </c>
      <c r="B143" s="8" t="s">
        <v>228</v>
      </c>
      <c r="C143" s="2">
        <f t="shared" si="46"/>
        <v>-216296</v>
      </c>
      <c r="D143" s="2">
        <v>-70630</v>
      </c>
      <c r="E143" s="2">
        <v>-46000</v>
      </c>
      <c r="F143" s="18">
        <v>-10090</v>
      </c>
      <c r="G143" s="2">
        <v>-25000</v>
      </c>
      <c r="H143" s="2">
        <v>-24216</v>
      </c>
      <c r="I143" s="2">
        <v>-15135</v>
      </c>
      <c r="J143" s="2">
        <v>-25225</v>
      </c>
      <c r="K143" s="13"/>
    </row>
    <row r="144" spans="1:11" x14ac:dyDescent="0.25">
      <c r="A144" s="8" t="s">
        <v>229</v>
      </c>
      <c r="B144" s="8" t="s">
        <v>230</v>
      </c>
      <c r="C144" s="2">
        <f t="shared" si="46"/>
        <v>-25180</v>
      </c>
      <c r="D144" s="13"/>
      <c r="E144" s="2">
        <v>-5000</v>
      </c>
      <c r="F144" s="19"/>
      <c r="G144" s="2">
        <v>-5045</v>
      </c>
      <c r="H144" s="2">
        <v>-5045</v>
      </c>
      <c r="I144" s="2">
        <v>-5045</v>
      </c>
      <c r="J144" s="2">
        <v>-5045</v>
      </c>
      <c r="K144" s="13"/>
    </row>
    <row r="145" spans="1:11" x14ac:dyDescent="0.25">
      <c r="A145" s="8" t="s">
        <v>231</v>
      </c>
      <c r="B145" s="8" t="s">
        <v>232</v>
      </c>
      <c r="C145" s="2">
        <f t="shared" si="46"/>
        <v>-35571.89</v>
      </c>
      <c r="D145" s="2">
        <v>-289.77999999999997</v>
      </c>
      <c r="E145" s="2">
        <v>-5000</v>
      </c>
      <c r="F145" s="18">
        <v>-5057.1099999999997</v>
      </c>
      <c r="G145" s="2">
        <v>-5045</v>
      </c>
      <c r="H145" s="2">
        <v>-5045</v>
      </c>
      <c r="I145" s="2">
        <v>-10090</v>
      </c>
      <c r="J145" s="2">
        <v>-5045</v>
      </c>
      <c r="K145" s="13"/>
    </row>
    <row r="146" spans="1:11" x14ac:dyDescent="0.25">
      <c r="A146" s="8" t="s">
        <v>233</v>
      </c>
      <c r="B146" s="8" t="s">
        <v>234</v>
      </c>
      <c r="C146" s="2">
        <f t="shared" si="46"/>
        <v>-76540</v>
      </c>
      <c r="D146" s="2">
        <v>-25225</v>
      </c>
      <c r="E146" s="2">
        <v>-16000</v>
      </c>
      <c r="F146" s="18">
        <v>-8072</v>
      </c>
      <c r="G146" s="2">
        <v>-8072</v>
      </c>
      <c r="H146" s="2">
        <v>-5045</v>
      </c>
      <c r="I146" s="2">
        <v>-2018</v>
      </c>
      <c r="J146" s="2">
        <v>-12108</v>
      </c>
      <c r="K146" s="13"/>
    </row>
    <row r="147" spans="1:11" x14ac:dyDescent="0.25">
      <c r="A147" s="8" t="s">
        <v>235</v>
      </c>
      <c r="B147" s="8" t="s">
        <v>236</v>
      </c>
      <c r="C147" s="2">
        <f t="shared" si="46"/>
        <v>0</v>
      </c>
      <c r="D147" s="13"/>
      <c r="E147" s="13"/>
      <c r="F147" s="19"/>
      <c r="G147" s="13"/>
      <c r="H147" s="13"/>
      <c r="I147" s="13"/>
      <c r="J147" s="13"/>
      <c r="K147" s="13"/>
    </row>
    <row r="148" spans="1:11" x14ac:dyDescent="0.25">
      <c r="A148" s="8" t="s">
        <v>237</v>
      </c>
      <c r="B148" s="8" t="s">
        <v>238</v>
      </c>
      <c r="C148" s="2">
        <f t="shared" si="46"/>
        <v>-216935</v>
      </c>
      <c r="D148" s="2">
        <v>-156395</v>
      </c>
      <c r="E148" s="13"/>
      <c r="F148" s="18">
        <v>-50450</v>
      </c>
      <c r="G148" s="2">
        <v>-10090</v>
      </c>
      <c r="H148" s="13"/>
      <c r="I148" s="13"/>
      <c r="J148" s="13"/>
      <c r="K148" s="13"/>
    </row>
    <row r="149" spans="1:11" x14ac:dyDescent="0.25">
      <c r="A149" s="8" t="s">
        <v>239</v>
      </c>
      <c r="B149" s="8" t="s">
        <v>240</v>
      </c>
      <c r="C149" s="2">
        <f t="shared" si="46"/>
        <v>-168503</v>
      </c>
      <c r="D149" s="2">
        <v>-158413</v>
      </c>
      <c r="E149" s="13"/>
      <c r="F149" s="19"/>
      <c r="G149" s="2">
        <v>-10090</v>
      </c>
      <c r="H149" s="13"/>
      <c r="I149" s="13"/>
      <c r="J149" s="13"/>
      <c r="K149" s="13"/>
    </row>
    <row r="150" spans="1:11" x14ac:dyDescent="0.25">
      <c r="A150" s="8" t="s">
        <v>241</v>
      </c>
      <c r="B150" s="8" t="s">
        <v>242</v>
      </c>
      <c r="C150" s="2">
        <f t="shared" si="46"/>
        <v>-2665000</v>
      </c>
      <c r="D150" s="2">
        <v>-2665000</v>
      </c>
      <c r="E150" s="13"/>
      <c r="F150" s="18"/>
      <c r="G150" s="13"/>
      <c r="H150" s="13"/>
      <c r="I150" s="13"/>
      <c r="J150" s="13"/>
      <c r="K150" s="13"/>
    </row>
    <row r="151" spans="1:11" x14ac:dyDescent="0.25">
      <c r="A151" s="8" t="s">
        <v>243</v>
      </c>
      <c r="B151" s="8" t="s">
        <v>244</v>
      </c>
      <c r="C151" s="2">
        <f t="shared" si="46"/>
        <v>-604950</v>
      </c>
      <c r="D151" s="2">
        <v>-554950</v>
      </c>
      <c r="E151" s="13"/>
      <c r="F151" s="18">
        <v>-50000</v>
      </c>
      <c r="G151" s="13"/>
      <c r="H151" s="13"/>
      <c r="I151" s="13"/>
      <c r="J151" s="13"/>
      <c r="K151" s="13"/>
    </row>
    <row r="152" spans="1:11" x14ac:dyDescent="0.25">
      <c r="A152" s="8" t="s">
        <v>245</v>
      </c>
      <c r="B152" s="8" t="s">
        <v>246</v>
      </c>
      <c r="C152" s="2">
        <f t="shared" si="46"/>
        <v>0</v>
      </c>
      <c r="D152" s="13"/>
      <c r="E152" s="13"/>
      <c r="F152" s="19"/>
      <c r="G152" s="13"/>
      <c r="H152" s="13"/>
      <c r="I152" s="13"/>
      <c r="J152" s="13"/>
      <c r="K152" s="13"/>
    </row>
    <row r="153" spans="1:11" x14ac:dyDescent="0.25">
      <c r="A153" s="8" t="s">
        <v>247</v>
      </c>
      <c r="B153" s="8" t="s">
        <v>248</v>
      </c>
      <c r="C153" s="2">
        <f t="shared" si="46"/>
        <v>-101083.20000000001</v>
      </c>
      <c r="D153" s="13"/>
      <c r="E153" s="2">
        <v>-10600</v>
      </c>
      <c r="F153" s="19"/>
      <c r="G153" s="2">
        <v>-17530.87</v>
      </c>
      <c r="H153" s="13"/>
      <c r="I153" s="2">
        <v>-414.09</v>
      </c>
      <c r="J153" s="2">
        <v>-72538.240000000005</v>
      </c>
      <c r="K153" s="13"/>
    </row>
    <row r="154" spans="1:11" x14ac:dyDescent="0.25">
      <c r="A154" s="8" t="s">
        <v>249</v>
      </c>
      <c r="B154" s="8" t="s">
        <v>250</v>
      </c>
      <c r="C154" s="2">
        <f t="shared" si="46"/>
        <v>-252250</v>
      </c>
      <c r="D154" s="2">
        <v>-252250</v>
      </c>
      <c r="E154" s="13"/>
      <c r="F154" s="18"/>
      <c r="G154" s="13"/>
      <c r="H154" s="13"/>
      <c r="I154" s="13"/>
      <c r="J154" s="13"/>
      <c r="K154" s="13"/>
    </row>
    <row r="155" spans="1:11" x14ac:dyDescent="0.25">
      <c r="A155" s="8" t="s">
        <v>251</v>
      </c>
      <c r="B155" s="8" t="s">
        <v>252</v>
      </c>
      <c r="C155" s="2">
        <f t="shared" si="46"/>
        <v>-52388</v>
      </c>
      <c r="D155" s="13"/>
      <c r="E155" s="2">
        <v>-20100</v>
      </c>
      <c r="F155" s="19">
        <v>-1513.5</v>
      </c>
      <c r="G155" s="2">
        <v>-7567.5</v>
      </c>
      <c r="H155" s="2">
        <v>-5549.5</v>
      </c>
      <c r="I155" s="2">
        <v>-9585.5</v>
      </c>
      <c r="J155" s="2">
        <v>-8072</v>
      </c>
      <c r="K155" s="13"/>
    </row>
    <row r="156" spans="1:11" x14ac:dyDescent="0.25">
      <c r="A156" s="8" t="s">
        <v>253</v>
      </c>
      <c r="B156" s="8" t="s">
        <v>254</v>
      </c>
      <c r="C156" s="2">
        <f t="shared" si="46"/>
        <v>0</v>
      </c>
      <c r="D156" s="13"/>
      <c r="E156" s="13"/>
      <c r="F156" s="19"/>
      <c r="G156" s="13"/>
      <c r="H156" s="13"/>
      <c r="I156" s="13"/>
      <c r="J156" s="13"/>
      <c r="K156" s="13"/>
    </row>
    <row r="157" spans="1:11" x14ac:dyDescent="0.25">
      <c r="A157" s="8" t="s">
        <v>255</v>
      </c>
      <c r="B157" s="8" t="s">
        <v>256</v>
      </c>
      <c r="C157" s="2">
        <f t="shared" si="46"/>
        <v>-480000</v>
      </c>
      <c r="D157" s="2">
        <v>-480000</v>
      </c>
      <c r="E157" s="13"/>
      <c r="F157" s="19"/>
      <c r="G157" s="13"/>
      <c r="H157" s="13"/>
      <c r="I157" s="13"/>
      <c r="J157" s="13"/>
      <c r="K157" s="13"/>
    </row>
    <row r="158" spans="1:11" x14ac:dyDescent="0.25">
      <c r="A158" s="8" t="s">
        <v>257</v>
      </c>
      <c r="B158" s="8" t="s">
        <v>258</v>
      </c>
      <c r="C158" s="2">
        <f t="shared" si="46"/>
        <v>-707388.89</v>
      </c>
      <c r="D158" s="2">
        <v>-504500</v>
      </c>
      <c r="E158" s="2">
        <v>-80000</v>
      </c>
      <c r="F158" s="18"/>
      <c r="G158" s="13"/>
      <c r="H158" s="13"/>
      <c r="I158" s="2">
        <v>-121080</v>
      </c>
      <c r="J158" s="2">
        <v>-1808.89</v>
      </c>
      <c r="K158" s="13"/>
    </row>
    <row r="159" spans="1:11" x14ac:dyDescent="0.25">
      <c r="A159" s="8" t="s">
        <v>259</v>
      </c>
      <c r="B159" s="8" t="s">
        <v>260</v>
      </c>
      <c r="C159" s="2">
        <f t="shared" si="46"/>
        <v>0</v>
      </c>
      <c r="D159" s="13"/>
      <c r="E159" s="13"/>
      <c r="F159" s="19"/>
      <c r="G159" s="13"/>
      <c r="H159" s="13"/>
      <c r="I159" s="13"/>
      <c r="J159" s="13"/>
      <c r="K159" s="13"/>
    </row>
    <row r="160" spans="1:11" x14ac:dyDescent="0.25">
      <c r="A160" s="8" t="s">
        <v>261</v>
      </c>
      <c r="B160" s="8" t="s">
        <v>262</v>
      </c>
      <c r="C160" s="2">
        <f t="shared" si="46"/>
        <v>0</v>
      </c>
      <c r="D160" s="13"/>
      <c r="E160" s="13"/>
      <c r="F160" s="19"/>
      <c r="G160" s="13"/>
      <c r="H160" s="13"/>
      <c r="I160" s="13"/>
      <c r="J160" s="13"/>
      <c r="K160" s="13"/>
    </row>
    <row r="161" spans="1:11" x14ac:dyDescent="0.25">
      <c r="A161" s="8" t="s">
        <v>263</v>
      </c>
      <c r="B161" s="8" t="s">
        <v>264</v>
      </c>
      <c r="C161" s="2">
        <f t="shared" si="46"/>
        <v>-2113819.5</v>
      </c>
      <c r="D161" s="13"/>
      <c r="E161" s="2">
        <f>-375000*1.3</f>
        <v>-487500</v>
      </c>
      <c r="F161" s="18">
        <f>-504500*1.3</f>
        <v>-655850</v>
      </c>
      <c r="G161" s="2">
        <f>-156250*1.3</f>
        <v>-203125</v>
      </c>
      <c r="H161" s="2">
        <f>-176575*1.3</f>
        <v>-229547.5</v>
      </c>
      <c r="I161" s="2">
        <f>-121080*1.3</f>
        <v>-157404</v>
      </c>
      <c r="J161" s="2">
        <f>-292610*1.3</f>
        <v>-380393</v>
      </c>
      <c r="K161" s="13"/>
    </row>
    <row r="162" spans="1:11" x14ac:dyDescent="0.25">
      <c r="A162" s="8" t="s">
        <v>265</v>
      </c>
      <c r="B162" s="8" t="s">
        <v>266</v>
      </c>
      <c r="C162" s="2">
        <f t="shared" si="46"/>
        <v>-1245448</v>
      </c>
      <c r="D162" s="13"/>
      <c r="E162" s="2">
        <v>-562500</v>
      </c>
      <c r="F162" s="18">
        <v>-12108</v>
      </c>
      <c r="G162" s="2">
        <v>-156250</v>
      </c>
      <c r="H162" s="2">
        <v>-201800</v>
      </c>
      <c r="I162" s="2">
        <v>-110990</v>
      </c>
      <c r="J162" s="2">
        <v>-201800</v>
      </c>
      <c r="K162" s="13"/>
    </row>
    <row r="163" spans="1:11" x14ac:dyDescent="0.25">
      <c r="A163" s="8" t="s">
        <v>267</v>
      </c>
      <c r="B163" s="8" t="s">
        <v>268</v>
      </c>
      <c r="C163" s="2">
        <f t="shared" si="46"/>
        <v>-478092</v>
      </c>
      <c r="D163" s="13"/>
      <c r="E163" s="2">
        <v>-125000</v>
      </c>
      <c r="F163" s="18">
        <v>-201800</v>
      </c>
      <c r="G163" s="2">
        <v>-62500</v>
      </c>
      <c r="H163" s="2">
        <v>-30270</v>
      </c>
      <c r="I163" s="2">
        <v>-30270</v>
      </c>
      <c r="J163" s="2">
        <v>-28252</v>
      </c>
      <c r="K163" s="13"/>
    </row>
    <row r="164" spans="1:11" x14ac:dyDescent="0.25">
      <c r="A164" s="8" t="s">
        <v>269</v>
      </c>
      <c r="B164" s="8" t="s">
        <v>270</v>
      </c>
      <c r="C164" s="2">
        <f t="shared" si="46"/>
        <v>-91526.5</v>
      </c>
      <c r="D164" s="13"/>
      <c r="E164" s="2">
        <v>-20000</v>
      </c>
      <c r="F164" s="19"/>
      <c r="G164" s="2">
        <v>-12500</v>
      </c>
      <c r="H164" s="2">
        <v>-25225</v>
      </c>
      <c r="I164" s="2">
        <v>-18666.5</v>
      </c>
      <c r="J164" s="2">
        <v>-15135</v>
      </c>
      <c r="K164" s="13"/>
    </row>
    <row r="165" spans="1:11" x14ac:dyDescent="0.25">
      <c r="A165" s="8" t="s">
        <v>271</v>
      </c>
      <c r="B165" s="8" t="s">
        <v>272</v>
      </c>
      <c r="C165" s="2">
        <f t="shared" si="46"/>
        <v>-71896</v>
      </c>
      <c r="D165" s="13"/>
      <c r="E165" s="2">
        <v>-15000</v>
      </c>
      <c r="F165" s="18">
        <v>-5045</v>
      </c>
      <c r="G165" s="2">
        <v>-12500</v>
      </c>
      <c r="H165" s="13"/>
      <c r="I165" s="2">
        <v>-4036</v>
      </c>
      <c r="J165" s="2">
        <v>-35315</v>
      </c>
      <c r="K165" s="13"/>
    </row>
    <row r="166" spans="1:11" x14ac:dyDescent="0.25">
      <c r="A166" s="8" t="s">
        <v>273</v>
      </c>
      <c r="B166" s="8" t="s">
        <v>274</v>
      </c>
      <c r="C166" s="2">
        <f t="shared" si="46"/>
        <v>392887.98900000006</v>
      </c>
      <c r="D166" s="13"/>
      <c r="E166" s="13"/>
      <c r="F166" s="18">
        <f>302221.53*1.3</f>
        <v>392887.98900000006</v>
      </c>
      <c r="G166" s="13"/>
      <c r="H166" s="13"/>
      <c r="I166" s="13"/>
      <c r="J166" s="13"/>
      <c r="K166" s="13"/>
    </row>
    <row r="167" spans="1:11" x14ac:dyDescent="0.25">
      <c r="A167" s="8" t="s">
        <v>275</v>
      </c>
      <c r="B167" s="8" t="s">
        <v>276</v>
      </c>
      <c r="C167" s="2">
        <f t="shared" si="46"/>
        <v>-504500</v>
      </c>
      <c r="D167" s="2">
        <v>-504500</v>
      </c>
      <c r="E167" s="13"/>
      <c r="F167" s="19"/>
      <c r="G167" s="13"/>
      <c r="H167" s="13"/>
      <c r="I167" s="13"/>
      <c r="J167" s="13"/>
      <c r="K167" s="13"/>
    </row>
    <row r="168" spans="1:11" x14ac:dyDescent="0.25">
      <c r="A168" s="8" t="s">
        <v>277</v>
      </c>
      <c r="B168" s="8" t="s">
        <v>278</v>
      </c>
      <c r="C168" s="2">
        <f t="shared" si="46"/>
        <v>-2724300</v>
      </c>
      <c r="D168" s="2">
        <v>-2724300</v>
      </c>
      <c r="E168" s="13"/>
      <c r="F168" s="19"/>
      <c r="G168" s="13"/>
      <c r="H168" s="13"/>
      <c r="I168" s="13"/>
      <c r="J168" s="13"/>
      <c r="K168" s="13"/>
    </row>
    <row r="169" spans="1:11" x14ac:dyDescent="0.25">
      <c r="A169" s="8" t="s">
        <v>279</v>
      </c>
      <c r="B169" s="8" t="s">
        <v>280</v>
      </c>
      <c r="C169" s="2">
        <f t="shared" si="46"/>
        <v>-353150</v>
      </c>
      <c r="D169" s="2">
        <v>-353150</v>
      </c>
      <c r="E169" s="13"/>
      <c r="F169" s="19"/>
      <c r="G169" s="13"/>
      <c r="H169" s="13"/>
      <c r="I169" s="13"/>
      <c r="J169" s="13"/>
      <c r="K169" s="13"/>
    </row>
    <row r="170" spans="1:11" x14ac:dyDescent="0.25">
      <c r="A170" s="8" t="s">
        <v>281</v>
      </c>
      <c r="B170" s="8" t="s">
        <v>282</v>
      </c>
      <c r="C170" s="2">
        <f t="shared" si="46"/>
        <v>-100900</v>
      </c>
      <c r="D170" s="2">
        <v>-100900</v>
      </c>
      <c r="E170" s="13"/>
      <c r="F170" s="19"/>
      <c r="G170" s="13"/>
      <c r="H170" s="13"/>
      <c r="I170" s="13"/>
      <c r="J170" s="13"/>
      <c r="K170" s="13"/>
    </row>
    <row r="171" spans="1:11" x14ac:dyDescent="0.25">
      <c r="A171" s="8" t="s">
        <v>283</v>
      </c>
      <c r="B171" s="8" t="s">
        <v>284</v>
      </c>
      <c r="C171" s="2">
        <f t="shared" si="46"/>
        <v>-783204.24000000011</v>
      </c>
      <c r="D171" s="2">
        <v>-763769.18</v>
      </c>
      <c r="E171" s="2">
        <v>-15000</v>
      </c>
      <c r="F171" s="18"/>
      <c r="G171" s="13"/>
      <c r="H171" s="13"/>
      <c r="I171" s="13"/>
      <c r="J171" s="2">
        <v>-4435.0600000000004</v>
      </c>
      <c r="K171" s="13"/>
    </row>
    <row r="172" spans="1:11" x14ac:dyDescent="0.25">
      <c r="A172" s="8" t="s">
        <v>285</v>
      </c>
      <c r="B172" s="8" t="s">
        <v>286</v>
      </c>
      <c r="C172" s="2">
        <f t="shared" si="46"/>
        <v>-72549</v>
      </c>
      <c r="D172" s="13"/>
      <c r="E172" s="2">
        <v>-11000</v>
      </c>
      <c r="F172" s="19"/>
      <c r="G172" s="2">
        <v>-15135</v>
      </c>
      <c r="H172" s="2">
        <v>-10090</v>
      </c>
      <c r="I172" s="2">
        <v>-20180</v>
      </c>
      <c r="J172" s="2">
        <v>-16144</v>
      </c>
      <c r="K172" s="13"/>
    </row>
    <row r="173" spans="1:11" x14ac:dyDescent="0.25">
      <c r="A173" s="8" t="s">
        <v>287</v>
      </c>
      <c r="B173" s="8" t="s">
        <v>288</v>
      </c>
      <c r="C173" s="2">
        <f t="shared" si="46"/>
        <v>-165476</v>
      </c>
      <c r="D173" s="2">
        <v>-161440</v>
      </c>
      <c r="E173" s="13"/>
      <c r="F173" s="18">
        <v>-4036</v>
      </c>
      <c r="G173" s="13"/>
      <c r="H173" s="13"/>
      <c r="I173" s="13"/>
      <c r="J173" s="13"/>
      <c r="K173" s="13"/>
    </row>
    <row r="174" spans="1:11" x14ac:dyDescent="0.25">
      <c r="A174" s="8" t="s">
        <v>289</v>
      </c>
      <c r="B174" s="8" t="s">
        <v>290</v>
      </c>
      <c r="C174" s="2">
        <f t="shared" si="46"/>
        <v>-227025</v>
      </c>
      <c r="D174" s="2">
        <v>-201800</v>
      </c>
      <c r="E174" s="13"/>
      <c r="F174" s="18">
        <v>-10090</v>
      </c>
      <c r="G174" s="13"/>
      <c r="H174" s="2">
        <v>-10090</v>
      </c>
      <c r="I174" s="2">
        <v>-5045</v>
      </c>
      <c r="J174" s="13"/>
      <c r="K174" s="13"/>
    </row>
    <row r="175" spans="1:11" x14ac:dyDescent="0.25">
      <c r="A175" s="8" t="s">
        <v>291</v>
      </c>
      <c r="B175" s="8" t="s">
        <v>292</v>
      </c>
      <c r="C175" s="2">
        <f t="shared" si="46"/>
        <v>-62705.8</v>
      </c>
      <c r="D175" s="2">
        <v>-50450</v>
      </c>
      <c r="E175" s="2">
        <v>-6000</v>
      </c>
      <c r="F175" s="18"/>
      <c r="G175" s="2">
        <v>-1210.8</v>
      </c>
      <c r="H175" s="2">
        <v>-1009</v>
      </c>
      <c r="I175" s="2">
        <v>-1009</v>
      </c>
      <c r="J175" s="2">
        <v>-3027</v>
      </c>
      <c r="K175" s="13"/>
    </row>
    <row r="176" spans="1:11" x14ac:dyDescent="0.25">
      <c r="A176" s="8" t="s">
        <v>293</v>
      </c>
      <c r="B176" s="8" t="s">
        <v>294</v>
      </c>
      <c r="C176" s="2">
        <f t="shared" si="46"/>
        <v>-1361210</v>
      </c>
      <c r="D176" s="13"/>
      <c r="E176" s="2">
        <v>-465000</v>
      </c>
      <c r="F176" s="2">
        <v>0</v>
      </c>
      <c r="G176" s="2">
        <v>-200000</v>
      </c>
      <c r="H176" s="2">
        <v>-201800</v>
      </c>
      <c r="I176" s="2">
        <v>-363240</v>
      </c>
      <c r="J176" s="2">
        <v>-131170</v>
      </c>
      <c r="K176" s="13"/>
    </row>
    <row r="177" spans="1:11" x14ac:dyDescent="0.25">
      <c r="A177" s="8" t="s">
        <v>295</v>
      </c>
      <c r="B177" s="8" t="s">
        <v>296</v>
      </c>
      <c r="C177" s="2">
        <f t="shared" si="46"/>
        <v>-457238.65</v>
      </c>
      <c r="D177" s="2">
        <v>-403600</v>
      </c>
      <c r="E177" s="2">
        <v>-15135</v>
      </c>
      <c r="F177" s="18">
        <v>-10090</v>
      </c>
      <c r="G177" s="2">
        <v>-15000</v>
      </c>
      <c r="H177" s="2">
        <v>-4036</v>
      </c>
      <c r="I177" s="2">
        <v>-6054</v>
      </c>
      <c r="J177" s="2">
        <v>-3323.65</v>
      </c>
      <c r="K177" s="13"/>
    </row>
    <row r="178" spans="1:11" x14ac:dyDescent="0.25">
      <c r="A178" s="8" t="s">
        <v>297</v>
      </c>
      <c r="B178" s="8" t="s">
        <v>298</v>
      </c>
      <c r="C178" s="2">
        <f t="shared" si="46"/>
        <v>-71594</v>
      </c>
      <c r="D178" s="2">
        <v>-20180</v>
      </c>
      <c r="E178" s="2">
        <v>-15135</v>
      </c>
      <c r="F178" s="18">
        <v>-1009</v>
      </c>
      <c r="G178" s="2">
        <v>-5000</v>
      </c>
      <c r="H178" s="2">
        <v>-7063</v>
      </c>
      <c r="I178" s="2">
        <v>-5045</v>
      </c>
      <c r="J178" s="2">
        <v>-18162</v>
      </c>
      <c r="K178" s="13"/>
    </row>
    <row r="179" spans="1:11" x14ac:dyDescent="0.25">
      <c r="A179" s="8" t="s">
        <v>299</v>
      </c>
      <c r="B179" s="8" t="s">
        <v>300</v>
      </c>
      <c r="C179" s="2">
        <f t="shared" si="46"/>
        <v>-50450</v>
      </c>
      <c r="D179" s="2">
        <v>-20180</v>
      </c>
      <c r="E179" s="2">
        <v>-5045</v>
      </c>
      <c r="F179" s="19"/>
      <c r="G179" s="2">
        <v>-5045</v>
      </c>
      <c r="H179" s="2">
        <v>-5045</v>
      </c>
      <c r="I179" s="2">
        <v>-5045</v>
      </c>
      <c r="J179" s="2">
        <v>-10090</v>
      </c>
      <c r="K179" s="13"/>
    </row>
    <row r="180" spans="1:11" x14ac:dyDescent="0.25">
      <c r="A180" s="8" t="s">
        <v>301</v>
      </c>
      <c r="B180" s="8" t="s">
        <v>302</v>
      </c>
      <c r="C180" s="2">
        <f t="shared" si="46"/>
        <v>-557437</v>
      </c>
      <c r="D180" s="13"/>
      <c r="E180" s="2">
        <v>-201800</v>
      </c>
      <c r="F180" s="18">
        <v>-20180</v>
      </c>
      <c r="G180" s="2">
        <v>-60000</v>
      </c>
      <c r="H180" s="2">
        <v>-201800</v>
      </c>
      <c r="I180" s="2">
        <v>-43387</v>
      </c>
      <c r="J180" s="2">
        <v>-30270</v>
      </c>
      <c r="K180" s="13"/>
    </row>
    <row r="181" spans="1:11" x14ac:dyDescent="0.25">
      <c r="A181" s="8" t="s">
        <v>303</v>
      </c>
      <c r="B181" s="8" t="s">
        <v>304</v>
      </c>
      <c r="C181" s="2">
        <f t="shared" si="46"/>
        <v>-1054671.22</v>
      </c>
      <c r="D181" s="2">
        <v>-605400</v>
      </c>
      <c r="E181" s="2">
        <v>-171796.22</v>
      </c>
      <c r="F181" s="18">
        <v>-171530</v>
      </c>
      <c r="G181" s="2">
        <v>-20180</v>
      </c>
      <c r="H181" s="2">
        <v>-20180</v>
      </c>
      <c r="I181" s="2">
        <v>-50450</v>
      </c>
      <c r="J181" s="2">
        <v>-15135</v>
      </c>
      <c r="K181" s="13"/>
    </row>
    <row r="182" spans="1:11" x14ac:dyDescent="0.25">
      <c r="A182" s="8" t="s">
        <v>305</v>
      </c>
      <c r="B182" s="8" t="s">
        <v>306</v>
      </c>
      <c r="C182" s="2">
        <f t="shared" si="46"/>
        <v>-4013.5</v>
      </c>
      <c r="D182" s="2">
        <v>-1513.5</v>
      </c>
      <c r="E182" s="13"/>
      <c r="F182" s="19"/>
      <c r="G182" s="2">
        <v>-2500</v>
      </c>
      <c r="H182" s="13"/>
      <c r="I182" s="13"/>
      <c r="J182" s="13"/>
      <c r="K182" s="13"/>
    </row>
    <row r="183" spans="1:11" x14ac:dyDescent="0.25">
      <c r="A183" s="8" t="s">
        <v>307</v>
      </c>
      <c r="B183" s="8" t="s">
        <v>308</v>
      </c>
      <c r="C183" s="2">
        <f t="shared" si="46"/>
        <v>-273401.18</v>
      </c>
      <c r="D183" s="2">
        <v>-10090</v>
      </c>
      <c r="E183" s="2">
        <v>-97500</v>
      </c>
      <c r="F183" s="19"/>
      <c r="G183" s="2">
        <v>-37500</v>
      </c>
      <c r="H183" s="2">
        <v>-27747.5</v>
      </c>
      <c r="I183" s="2">
        <v>-47927.5</v>
      </c>
      <c r="J183" s="2">
        <v>-52636.18</v>
      </c>
      <c r="K183" s="13"/>
    </row>
    <row r="184" spans="1:11" x14ac:dyDescent="0.25">
      <c r="A184" s="8" t="s">
        <v>309</v>
      </c>
      <c r="B184" s="8" t="s">
        <v>310</v>
      </c>
      <c r="C184" s="2">
        <f t="shared" si="46"/>
        <v>-283097</v>
      </c>
      <c r="D184" s="2">
        <v>-4540.5</v>
      </c>
      <c r="E184" s="2">
        <v>-75675</v>
      </c>
      <c r="F184" s="18">
        <v>-20180</v>
      </c>
      <c r="G184" s="2">
        <v>-48000</v>
      </c>
      <c r="H184" s="2">
        <v>-20180</v>
      </c>
      <c r="I184" s="2">
        <v>-70630</v>
      </c>
      <c r="J184" s="2">
        <v>-43891.5</v>
      </c>
      <c r="K184" s="13"/>
    </row>
    <row r="185" spans="1:11" x14ac:dyDescent="0.25">
      <c r="A185" s="8" t="s">
        <v>311</v>
      </c>
      <c r="B185" s="8" t="s">
        <v>312</v>
      </c>
      <c r="C185" s="2">
        <f t="shared" si="46"/>
        <v>-116035</v>
      </c>
      <c r="D185" s="2">
        <v>-10090</v>
      </c>
      <c r="E185" s="2">
        <v>-28252</v>
      </c>
      <c r="F185" s="19">
        <v>-5045</v>
      </c>
      <c r="G185" s="2">
        <v>-25225</v>
      </c>
      <c r="H185" s="2">
        <v>-15135</v>
      </c>
      <c r="I185" s="2">
        <v>-20180</v>
      </c>
      <c r="J185" s="2">
        <v>-12108</v>
      </c>
      <c r="K185" s="13"/>
    </row>
    <row r="186" spans="1:11" x14ac:dyDescent="0.25">
      <c r="A186" s="8" t="s">
        <v>313</v>
      </c>
      <c r="B186" s="8" t="s">
        <v>314</v>
      </c>
      <c r="C186" s="2">
        <f t="shared" si="46"/>
        <v>-907650</v>
      </c>
      <c r="D186" s="2">
        <v>-40360</v>
      </c>
      <c r="E186" s="2">
        <v>-252250</v>
      </c>
      <c r="F186" s="18">
        <v>-10090</v>
      </c>
      <c r="G186" s="2">
        <v>-50000</v>
      </c>
      <c r="H186" s="2">
        <v>-353150</v>
      </c>
      <c r="I186" s="2">
        <v>-100900</v>
      </c>
      <c r="J186" s="2">
        <v>-100900</v>
      </c>
      <c r="K186" s="13"/>
    </row>
    <row r="187" spans="1:11" x14ac:dyDescent="0.25">
      <c r="A187" s="8" t="s">
        <v>315</v>
      </c>
      <c r="B187" s="8" t="s">
        <v>316</v>
      </c>
      <c r="C187" s="2">
        <f t="shared" si="46"/>
        <v>-214983.33000000002</v>
      </c>
      <c r="D187" s="13"/>
      <c r="E187" s="2">
        <v>-81123.600000000006</v>
      </c>
      <c r="F187" s="18">
        <v>-1210.8</v>
      </c>
      <c r="G187" s="2">
        <v>-30000</v>
      </c>
      <c r="H187" s="2">
        <v>-22198</v>
      </c>
      <c r="I187" s="2">
        <v>-38342</v>
      </c>
      <c r="J187" s="2">
        <v>-42108.93</v>
      </c>
      <c r="K187" s="13"/>
    </row>
    <row r="188" spans="1:11" x14ac:dyDescent="0.25">
      <c r="A188" s="8" t="s">
        <v>317</v>
      </c>
      <c r="B188" s="8" t="s">
        <v>318</v>
      </c>
      <c r="C188" s="2">
        <f t="shared" si="46"/>
        <v>-4060320.06</v>
      </c>
      <c r="D188" s="13"/>
      <c r="E188" s="2">
        <v>-1210800</v>
      </c>
      <c r="F188" s="18">
        <v>-807200</v>
      </c>
      <c r="G188" s="2">
        <v>-475000</v>
      </c>
      <c r="H188" s="2">
        <v>-302700</v>
      </c>
      <c r="I188" s="2">
        <v>-428825</v>
      </c>
      <c r="J188" s="2">
        <v>-835795.06</v>
      </c>
      <c r="K188" s="13"/>
    </row>
    <row r="189" spans="1:11" x14ac:dyDescent="0.25">
      <c r="A189" s="8" t="s">
        <v>319</v>
      </c>
      <c r="B189" s="8" t="s">
        <v>320</v>
      </c>
      <c r="C189" s="2">
        <f t="shared" si="46"/>
        <v>-50000</v>
      </c>
      <c r="D189" s="2">
        <v>-50000</v>
      </c>
      <c r="E189" s="13"/>
      <c r="F189" s="19"/>
      <c r="G189" s="13"/>
      <c r="H189" s="13"/>
      <c r="I189" s="13"/>
      <c r="J189" s="13"/>
      <c r="K189" s="13"/>
    </row>
    <row r="190" spans="1:11" x14ac:dyDescent="0.25">
      <c r="A190" s="8" t="s">
        <v>321</v>
      </c>
      <c r="B190" s="8" t="s">
        <v>322</v>
      </c>
      <c r="C190" s="2">
        <f t="shared" si="46"/>
        <v>-146358.48000000001</v>
      </c>
      <c r="D190" s="13"/>
      <c r="E190" s="2">
        <v>-3080.48</v>
      </c>
      <c r="F190" s="19"/>
      <c r="G190" s="2">
        <v>-141260</v>
      </c>
      <c r="H190" s="13"/>
      <c r="I190" s="2">
        <v>-2018</v>
      </c>
      <c r="J190" s="13"/>
      <c r="K190" s="13"/>
    </row>
    <row r="191" spans="1:11" x14ac:dyDescent="0.25">
      <c r="A191" s="8" t="s">
        <v>323</v>
      </c>
      <c r="B191" s="8" t="s">
        <v>324</v>
      </c>
      <c r="C191" s="2">
        <f t="shared" si="46"/>
        <v>0</v>
      </c>
      <c r="D191" s="13"/>
      <c r="E191" s="13"/>
      <c r="F191" s="19"/>
      <c r="G191" s="13"/>
      <c r="H191" s="13"/>
      <c r="I191" s="13"/>
      <c r="J191" s="13"/>
      <c r="K191" s="13"/>
    </row>
    <row r="192" spans="1:11" x14ac:dyDescent="0.25">
      <c r="A192" s="8" t="s">
        <v>325</v>
      </c>
      <c r="B192" s="8" t="s">
        <v>326</v>
      </c>
      <c r="C192" s="2">
        <f t="shared" si="46"/>
        <v>-595310</v>
      </c>
      <c r="D192" s="13"/>
      <c r="E192" s="2">
        <v>-201800</v>
      </c>
      <c r="F192" s="18">
        <v>-100900</v>
      </c>
      <c r="G192" s="2">
        <v>-100900</v>
      </c>
      <c r="H192" s="2">
        <v>-50450</v>
      </c>
      <c r="I192" s="2">
        <v>-100900</v>
      </c>
      <c r="J192" s="2">
        <v>-40360</v>
      </c>
      <c r="K192" s="13"/>
    </row>
    <row r="193" spans="1:11" x14ac:dyDescent="0.25">
      <c r="A193" s="8" t="s">
        <v>327</v>
      </c>
      <c r="B193" s="8" t="s">
        <v>328</v>
      </c>
      <c r="C193" s="2">
        <f t="shared" si="46"/>
        <v>0</v>
      </c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8" t="s">
        <v>329</v>
      </c>
      <c r="B194" s="8" t="s">
        <v>330</v>
      </c>
      <c r="C194" s="2">
        <f t="shared" si="46"/>
        <v>0</v>
      </c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8" t="s">
        <v>331</v>
      </c>
      <c r="B195" s="8" t="s">
        <v>332</v>
      </c>
      <c r="C195" s="2">
        <f t="shared" si="46"/>
        <v>0</v>
      </c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8" t="s">
        <v>333</v>
      </c>
      <c r="B196" s="8" t="s">
        <v>334</v>
      </c>
      <c r="C196" s="2">
        <f t="shared" si="46"/>
        <v>0</v>
      </c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9" t="s">
        <v>335</v>
      </c>
      <c r="B197" s="9" t="s">
        <v>336</v>
      </c>
      <c r="C197" s="16">
        <f t="shared" ref="C197:K197" si="47">SUM(C138:C196)</f>
        <v>-26434104.450999994</v>
      </c>
      <c r="D197" s="16">
        <f t="shared" si="47"/>
        <v>2654486.5100000016</v>
      </c>
      <c r="E197" s="16">
        <f t="shared" si="47"/>
        <v>-10205720.524033999</v>
      </c>
      <c r="F197" s="16">
        <f t="shared" si="47"/>
        <v>-1843689.232115</v>
      </c>
      <c r="G197" s="16">
        <f t="shared" si="47"/>
        <v>-3775420.6081360001</v>
      </c>
      <c r="H197" s="16">
        <f t="shared" si="47"/>
        <v>-3684920.0818340001</v>
      </c>
      <c r="I197" s="16">
        <f t="shared" si="47"/>
        <v>-4835961.5131320003</v>
      </c>
      <c r="J197" s="16">
        <f t="shared" si="47"/>
        <v>-4742879.0017490005</v>
      </c>
      <c r="K197" s="16">
        <f t="shared" si="47"/>
        <v>0</v>
      </c>
    </row>
    <row r="198" spans="1:11" x14ac:dyDescent="0.25">
      <c r="A198" s="8" t="s">
        <v>7</v>
      </c>
      <c r="B198" s="8" t="s">
        <v>7</v>
      </c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9" t="s">
        <v>337</v>
      </c>
      <c r="B199" s="9" t="s">
        <v>338</v>
      </c>
      <c r="C199" s="16"/>
      <c r="D199" s="16"/>
      <c r="E199" s="16"/>
      <c r="F199" s="16"/>
      <c r="G199" s="16"/>
      <c r="H199" s="16"/>
      <c r="I199" s="16"/>
      <c r="J199" s="16"/>
      <c r="K199" s="16"/>
    </row>
    <row r="200" spans="1:11" x14ac:dyDescent="0.25">
      <c r="A200" s="8" t="s">
        <v>339</v>
      </c>
      <c r="B200" s="8" t="s">
        <v>340</v>
      </c>
      <c r="C200" s="2">
        <f t="shared" ref="C200:C207" si="48">SUM(D200:K200)</f>
        <v>0</v>
      </c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8" t="s">
        <v>341</v>
      </c>
      <c r="B201" s="8" t="s">
        <v>342</v>
      </c>
      <c r="C201" s="2">
        <f t="shared" si="48"/>
        <v>0</v>
      </c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8" t="s">
        <v>343</v>
      </c>
      <c r="B202" s="8" t="s">
        <v>344</v>
      </c>
      <c r="C202" s="2">
        <f t="shared" si="48"/>
        <v>0</v>
      </c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8" t="s">
        <v>345</v>
      </c>
      <c r="B203" s="8" t="s">
        <v>346</v>
      </c>
      <c r="C203" s="2">
        <f t="shared" si="48"/>
        <v>0</v>
      </c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8" t="s">
        <v>347</v>
      </c>
      <c r="B204" s="8" t="s">
        <v>348</v>
      </c>
      <c r="C204" s="2">
        <f t="shared" si="48"/>
        <v>0</v>
      </c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8" t="s">
        <v>349</v>
      </c>
      <c r="B205" s="8" t="s">
        <v>350</v>
      </c>
      <c r="C205" s="2">
        <f t="shared" si="48"/>
        <v>0</v>
      </c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8" t="s">
        <v>351</v>
      </c>
      <c r="B206" s="8" t="s">
        <v>352</v>
      </c>
      <c r="C206" s="2">
        <f t="shared" si="48"/>
        <v>0</v>
      </c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8" t="s">
        <v>353</v>
      </c>
      <c r="B207" s="8" t="s">
        <v>354</v>
      </c>
      <c r="C207" s="2">
        <f t="shared" si="48"/>
        <v>0</v>
      </c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9" t="s">
        <v>355</v>
      </c>
      <c r="B208" s="9" t="s">
        <v>356</v>
      </c>
      <c r="C208" s="16">
        <f t="shared" ref="C208:K208" si="49">SUM(C200:C207)</f>
        <v>0</v>
      </c>
      <c r="D208" s="16">
        <f t="shared" si="49"/>
        <v>0</v>
      </c>
      <c r="E208" s="16">
        <f t="shared" si="49"/>
        <v>0</v>
      </c>
      <c r="F208" s="16">
        <f t="shared" si="49"/>
        <v>0</v>
      </c>
      <c r="G208" s="16">
        <f t="shared" si="49"/>
        <v>0</v>
      </c>
      <c r="H208" s="16">
        <f t="shared" si="49"/>
        <v>0</v>
      </c>
      <c r="I208" s="16">
        <f t="shared" si="49"/>
        <v>0</v>
      </c>
      <c r="J208" s="16">
        <f t="shared" si="49"/>
        <v>0</v>
      </c>
      <c r="K208" s="16">
        <f t="shared" si="49"/>
        <v>0</v>
      </c>
    </row>
    <row r="209" spans="1:11" x14ac:dyDescent="0.25">
      <c r="A209" s="8" t="s">
        <v>7</v>
      </c>
      <c r="B209" s="8" t="s">
        <v>7</v>
      </c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9" t="s">
        <v>357</v>
      </c>
      <c r="B210" s="9" t="s">
        <v>35</v>
      </c>
      <c r="C210" s="16"/>
      <c r="D210" s="16"/>
      <c r="E210" s="16"/>
      <c r="F210" s="16"/>
      <c r="G210" s="16"/>
      <c r="H210" s="16"/>
      <c r="I210" s="16"/>
      <c r="J210" s="16"/>
      <c r="K210" s="16"/>
    </row>
    <row r="211" spans="1:11" x14ac:dyDescent="0.25">
      <c r="A211" s="8" t="s">
        <v>358</v>
      </c>
      <c r="B211" s="8" t="s">
        <v>359</v>
      </c>
      <c r="C211" s="2">
        <f t="shared" ref="C211:C217" si="50">SUM(D211:K211)</f>
        <v>0</v>
      </c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8" t="s">
        <v>360</v>
      </c>
      <c r="B212" s="8" t="s">
        <v>361</v>
      </c>
      <c r="C212" s="2">
        <f t="shared" si="50"/>
        <v>-249728.16</v>
      </c>
      <c r="D212" s="13"/>
      <c r="E212" s="13"/>
      <c r="F212" s="13"/>
      <c r="G212" s="13"/>
      <c r="H212" s="13"/>
      <c r="I212" s="2">
        <v>-59728.160000000003</v>
      </c>
      <c r="J212" s="2">
        <v>-190000</v>
      </c>
      <c r="K212" s="13"/>
    </row>
    <row r="213" spans="1:11" x14ac:dyDescent="0.25">
      <c r="A213" s="8" t="s">
        <v>362</v>
      </c>
      <c r="B213" s="8" t="s">
        <v>363</v>
      </c>
      <c r="C213" s="2">
        <f t="shared" si="50"/>
        <v>-3664.93</v>
      </c>
      <c r="D213" s="2">
        <v>-3664.93</v>
      </c>
      <c r="E213" s="13"/>
      <c r="F213" s="13"/>
      <c r="G213" s="13"/>
      <c r="H213" s="13"/>
      <c r="I213" s="13"/>
      <c r="J213" s="13"/>
      <c r="K213" s="13"/>
    </row>
    <row r="214" spans="1:11" x14ac:dyDescent="0.25">
      <c r="A214" s="8" t="s">
        <v>364</v>
      </c>
      <c r="B214" s="8" t="s">
        <v>365</v>
      </c>
      <c r="C214" s="2">
        <f t="shared" si="50"/>
        <v>-13288.85</v>
      </c>
      <c r="D214" s="2">
        <v>-7292.89</v>
      </c>
      <c r="E214" s="2">
        <v>-2586.66</v>
      </c>
      <c r="F214" s="13"/>
      <c r="G214" s="2">
        <v>-1640.94</v>
      </c>
      <c r="H214" s="2">
        <v>-316.14999999999998</v>
      </c>
      <c r="I214" s="2">
        <v>-593.52</v>
      </c>
      <c r="J214" s="2">
        <v>-858.69</v>
      </c>
      <c r="K214" s="13"/>
    </row>
    <row r="215" spans="1:11" x14ac:dyDescent="0.25">
      <c r="A215" s="8" t="s">
        <v>366</v>
      </c>
      <c r="B215" s="8" t="s">
        <v>367</v>
      </c>
      <c r="C215" s="2">
        <f t="shared" si="50"/>
        <v>0</v>
      </c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8" t="s">
        <v>368</v>
      </c>
      <c r="B216" s="8" t="s">
        <v>369</v>
      </c>
      <c r="C216" s="2">
        <f t="shared" si="50"/>
        <v>0</v>
      </c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8" t="s">
        <v>370</v>
      </c>
      <c r="B217" s="8" t="s">
        <v>371</v>
      </c>
      <c r="C217" s="2">
        <f t="shared" si="50"/>
        <v>-310.48</v>
      </c>
      <c r="D217" s="13"/>
      <c r="E217" s="13"/>
      <c r="F217" s="13"/>
      <c r="G217" s="2">
        <v>-310.48</v>
      </c>
      <c r="H217" s="13"/>
      <c r="I217" s="13"/>
      <c r="J217" s="13"/>
      <c r="K217" s="13"/>
    </row>
    <row r="218" spans="1:11" x14ac:dyDescent="0.25">
      <c r="A218" s="9" t="s">
        <v>372</v>
      </c>
      <c r="B218" s="9" t="s">
        <v>373</v>
      </c>
      <c r="C218" s="16">
        <f t="shared" ref="C218:K218" si="51">SUM(C211:C217)</f>
        <v>-266992.42</v>
      </c>
      <c r="D218" s="16">
        <f t="shared" si="51"/>
        <v>-10957.82</v>
      </c>
      <c r="E218" s="16">
        <f t="shared" si="51"/>
        <v>-2586.66</v>
      </c>
      <c r="F218" s="16">
        <f t="shared" si="51"/>
        <v>0</v>
      </c>
      <c r="G218" s="16">
        <f t="shared" si="51"/>
        <v>-1951.42</v>
      </c>
      <c r="H218" s="16">
        <f t="shared" si="51"/>
        <v>-316.14999999999998</v>
      </c>
      <c r="I218" s="16">
        <f t="shared" si="51"/>
        <v>-60321.68</v>
      </c>
      <c r="J218" s="16">
        <f t="shared" si="51"/>
        <v>-190858.69</v>
      </c>
      <c r="K218" s="16">
        <f t="shared" si="51"/>
        <v>0</v>
      </c>
    </row>
    <row r="219" spans="1:11" x14ac:dyDescent="0.25">
      <c r="A219" s="8" t="s">
        <v>7</v>
      </c>
      <c r="B219" s="8" t="s">
        <v>7</v>
      </c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9" t="s">
        <v>374</v>
      </c>
      <c r="B220" s="9" t="s">
        <v>375</v>
      </c>
      <c r="C220" s="16"/>
      <c r="D220" s="16"/>
      <c r="E220" s="16"/>
      <c r="F220" s="16"/>
      <c r="G220" s="16"/>
      <c r="H220" s="16"/>
      <c r="I220" s="16"/>
      <c r="J220" s="16"/>
      <c r="K220" s="16"/>
    </row>
    <row r="221" spans="1:11" x14ac:dyDescent="0.25">
      <c r="A221" s="8" t="s">
        <v>376</v>
      </c>
      <c r="B221" s="8" t="s">
        <v>375</v>
      </c>
      <c r="C221" s="2">
        <f>SUM(D221:K221)</f>
        <v>0</v>
      </c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9" t="s">
        <v>377</v>
      </c>
      <c r="B222" s="9" t="s">
        <v>378</v>
      </c>
      <c r="C222" s="16">
        <f t="shared" ref="C222:K222" si="52">C221</f>
        <v>0</v>
      </c>
      <c r="D222" s="16">
        <f t="shared" si="52"/>
        <v>0</v>
      </c>
      <c r="E222" s="16">
        <f t="shared" si="52"/>
        <v>0</v>
      </c>
      <c r="F222" s="16">
        <f t="shared" si="52"/>
        <v>0</v>
      </c>
      <c r="G222" s="16">
        <f t="shared" si="52"/>
        <v>0</v>
      </c>
      <c r="H222" s="16">
        <f t="shared" si="52"/>
        <v>0</v>
      </c>
      <c r="I222" s="16">
        <f t="shared" si="52"/>
        <v>0</v>
      </c>
      <c r="J222" s="16">
        <f t="shared" si="52"/>
        <v>0</v>
      </c>
      <c r="K222" s="16">
        <f t="shared" si="52"/>
        <v>0</v>
      </c>
    </row>
    <row r="223" spans="1:11" x14ac:dyDescent="0.25">
      <c r="A223" s="8" t="s">
        <v>7</v>
      </c>
      <c r="B223" s="8" t="s">
        <v>7</v>
      </c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9" t="s">
        <v>379</v>
      </c>
      <c r="B224" s="9" t="s">
        <v>380</v>
      </c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x14ac:dyDescent="0.25">
      <c r="A225" s="8" t="s">
        <v>381</v>
      </c>
      <c r="B225" s="8" t="s">
        <v>380</v>
      </c>
      <c r="C225" s="2">
        <f>SUM(D225:K225)</f>
        <v>0</v>
      </c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9" t="s">
        <v>382</v>
      </c>
      <c r="B226" s="9" t="s">
        <v>383</v>
      </c>
      <c r="C226" s="16">
        <f t="shared" ref="C226:K226" si="53">C225</f>
        <v>0</v>
      </c>
      <c r="D226" s="16">
        <f t="shared" si="53"/>
        <v>0</v>
      </c>
      <c r="E226" s="16">
        <f t="shared" si="53"/>
        <v>0</v>
      </c>
      <c r="F226" s="16">
        <f t="shared" si="53"/>
        <v>0</v>
      </c>
      <c r="G226" s="16">
        <f t="shared" si="53"/>
        <v>0</v>
      </c>
      <c r="H226" s="16">
        <f t="shared" si="53"/>
        <v>0</v>
      </c>
      <c r="I226" s="16">
        <f t="shared" si="53"/>
        <v>0</v>
      </c>
      <c r="J226" s="16">
        <f t="shared" si="53"/>
        <v>0</v>
      </c>
      <c r="K226" s="16">
        <f t="shared" si="53"/>
        <v>0</v>
      </c>
    </row>
    <row r="227" spans="1:11" x14ac:dyDescent="0.25">
      <c r="A227" s="8" t="s">
        <v>7</v>
      </c>
      <c r="B227" s="8" t="s">
        <v>7</v>
      </c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ht="15.75" thickBot="1" x14ac:dyDescent="0.3">
      <c r="A228" s="10" t="s">
        <v>384</v>
      </c>
      <c r="B228" s="10" t="s">
        <v>385</v>
      </c>
      <c r="C228" s="17">
        <f t="shared" ref="C228:K228" si="54">C226+C222+C218+C208+C197+C135+C126</f>
        <v>-3411788.0109999925</v>
      </c>
      <c r="D228" s="17">
        <f t="shared" si="54"/>
        <v>0</v>
      </c>
      <c r="E228" s="17">
        <f t="shared" si="54"/>
        <v>-2465400.7240339983</v>
      </c>
      <c r="F228" s="17">
        <f t="shared" si="54"/>
        <v>-412531.98211500049</v>
      </c>
      <c r="G228" s="17">
        <f t="shared" si="54"/>
        <v>-486734.68813599925</v>
      </c>
      <c r="H228" s="17">
        <f t="shared" si="54"/>
        <v>-1699312.1918339999</v>
      </c>
      <c r="I228" s="17">
        <f t="shared" si="54"/>
        <v>-529273.98313200008</v>
      </c>
      <c r="J228" s="17">
        <f t="shared" si="54"/>
        <v>-1818534.4417490009</v>
      </c>
      <c r="K228" s="17">
        <f t="shared" si="54"/>
        <v>4000000</v>
      </c>
    </row>
    <row r="229" spans="1:11" ht="15.75" thickTop="1" x14ac:dyDescent="0.25">
      <c r="A229" s="8" t="s">
        <v>7</v>
      </c>
      <c r="B229" s="8" t="s">
        <v>7</v>
      </c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9" t="s">
        <v>386</v>
      </c>
      <c r="B230" s="9" t="s">
        <v>387</v>
      </c>
      <c r="C230" s="16"/>
      <c r="D230" s="16"/>
      <c r="E230" s="16"/>
      <c r="F230" s="16"/>
      <c r="G230" s="16"/>
      <c r="H230" s="16"/>
      <c r="I230" s="16"/>
      <c r="J230" s="16"/>
      <c r="K230" s="16"/>
    </row>
    <row r="231" spans="1:11" x14ac:dyDescent="0.25">
      <c r="A231" s="8" t="s">
        <v>388</v>
      </c>
      <c r="B231" s="8" t="s">
        <v>389</v>
      </c>
      <c r="C231" s="2">
        <f>SUM(D231:K231)</f>
        <v>0</v>
      </c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8" t="s">
        <v>390</v>
      </c>
      <c r="B232" s="8" t="s">
        <v>391</v>
      </c>
      <c r="C232" s="2">
        <f>SUM(D232:K232)</f>
        <v>0</v>
      </c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8" t="s">
        <v>392</v>
      </c>
      <c r="B233" s="8" t="s">
        <v>393</v>
      </c>
      <c r="C233" s="2">
        <f>SUM(D233:K233)</f>
        <v>0</v>
      </c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9" t="s">
        <v>394</v>
      </c>
      <c r="B234" s="9" t="s">
        <v>395</v>
      </c>
      <c r="C234" s="16">
        <v>0</v>
      </c>
      <c r="D234" s="16">
        <v>0</v>
      </c>
      <c r="E234" s="16"/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</row>
    <row r="235" spans="1:11" x14ac:dyDescent="0.25">
      <c r="A235" s="8" t="s">
        <v>7</v>
      </c>
      <c r="B235" s="8" t="s">
        <v>7</v>
      </c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ht="15.75" thickBot="1" x14ac:dyDescent="0.3">
      <c r="A236" s="10" t="s">
        <v>7</v>
      </c>
      <c r="B236" s="10" t="s">
        <v>41</v>
      </c>
      <c r="C236" s="17">
        <f t="shared" ref="C236:K236" si="55">C228+C234</f>
        <v>-3411788.0109999925</v>
      </c>
      <c r="D236" s="17">
        <f t="shared" si="55"/>
        <v>0</v>
      </c>
      <c r="E236" s="17">
        <f t="shared" si="55"/>
        <v>-2465400.7240339983</v>
      </c>
      <c r="F236" s="17">
        <f t="shared" si="55"/>
        <v>-412531.98211500049</v>
      </c>
      <c r="G236" s="17">
        <f t="shared" si="55"/>
        <v>-486734.68813599925</v>
      </c>
      <c r="H236" s="17">
        <f t="shared" si="55"/>
        <v>-1699312.1918339999</v>
      </c>
      <c r="I236" s="17">
        <f t="shared" si="55"/>
        <v>-529273.98313200008</v>
      </c>
      <c r="J236" s="17">
        <f t="shared" si="55"/>
        <v>-1818534.4417490009</v>
      </c>
      <c r="K236" s="17">
        <f t="shared" si="55"/>
        <v>4000000</v>
      </c>
    </row>
    <row r="237" spans="1:11" ht="15.75" thickTop="1" x14ac:dyDescent="0.25">
      <c r="A237" s="8" t="s">
        <v>7</v>
      </c>
      <c r="B237" s="8" t="s">
        <v>7</v>
      </c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8" t="s">
        <v>396</v>
      </c>
      <c r="B238" s="8" t="s">
        <v>397</v>
      </c>
      <c r="C238" s="16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8" t="s">
        <v>398</v>
      </c>
      <c r="B239" s="8" t="s">
        <v>399</v>
      </c>
      <c r="C239" s="2">
        <f>SUM(D239:K239)</f>
        <v>0</v>
      </c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8" t="s">
        <v>400</v>
      </c>
      <c r="B240" s="8" t="s">
        <v>401</v>
      </c>
      <c r="C240" s="2">
        <f>SUM(D240:K240)</f>
        <v>-2273204.3199999998</v>
      </c>
      <c r="D240" s="13"/>
      <c r="E240" s="2">
        <v>-742702.9</v>
      </c>
      <c r="F240" s="2">
        <v>-906.4</v>
      </c>
      <c r="G240" s="2">
        <v>-291128.38</v>
      </c>
      <c r="H240" s="2">
        <v>-86796.89</v>
      </c>
      <c r="I240" s="2">
        <v>-348408.6</v>
      </c>
      <c r="J240" s="2">
        <v>-803261.15</v>
      </c>
      <c r="K240" s="13"/>
    </row>
    <row r="241" spans="1:11" x14ac:dyDescent="0.25">
      <c r="A241" s="8" t="s">
        <v>402</v>
      </c>
      <c r="B241" s="8" t="s">
        <v>403</v>
      </c>
      <c r="C241" s="2">
        <f>SUM(D241:K241)</f>
        <v>0</v>
      </c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9" t="s">
        <v>404</v>
      </c>
      <c r="B242" s="9" t="s">
        <v>405</v>
      </c>
      <c r="C242" s="16">
        <f>C241+C240+C239+C238</f>
        <v>-2273204.3199999998</v>
      </c>
      <c r="D242" s="16">
        <f t="shared" ref="D242:K242" si="56">D241+D240+D239+D238</f>
        <v>0</v>
      </c>
      <c r="E242" s="16">
        <f t="shared" si="56"/>
        <v>-742702.9</v>
      </c>
      <c r="F242" s="16">
        <f t="shared" si="56"/>
        <v>-906.4</v>
      </c>
      <c r="G242" s="16">
        <f t="shared" si="56"/>
        <v>-291128.38</v>
      </c>
      <c r="H242" s="16">
        <f t="shared" si="56"/>
        <v>-86796.89</v>
      </c>
      <c r="I242" s="16">
        <f t="shared" si="56"/>
        <v>-348408.6</v>
      </c>
      <c r="J242" s="16">
        <f t="shared" si="56"/>
        <v>-803261.15</v>
      </c>
      <c r="K242" s="16">
        <f t="shared" si="56"/>
        <v>0</v>
      </c>
    </row>
    <row r="243" spans="1:11" x14ac:dyDescent="0.25">
      <c r="A243" s="8" t="s">
        <v>7</v>
      </c>
      <c r="B243" s="8" t="s">
        <v>7</v>
      </c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ht="15.75" thickBot="1" x14ac:dyDescent="0.3">
      <c r="A244" s="10" t="s">
        <v>406</v>
      </c>
      <c r="B244" s="10" t="s">
        <v>43</v>
      </c>
      <c r="C244" s="17">
        <f>C236+C242</f>
        <v>-5684992.3309999928</v>
      </c>
      <c r="D244" s="17">
        <f t="shared" ref="D244:K244" si="57">D236+D242</f>
        <v>0</v>
      </c>
      <c r="E244" s="17">
        <f t="shared" si="57"/>
        <v>-3208103.6240339982</v>
      </c>
      <c r="F244" s="17">
        <f t="shared" si="57"/>
        <v>-413438.38211500051</v>
      </c>
      <c r="G244" s="17">
        <f t="shared" si="57"/>
        <v>-777863.06813599926</v>
      </c>
      <c r="H244" s="17">
        <f t="shared" si="57"/>
        <v>-1786109.0818339998</v>
      </c>
      <c r="I244" s="17">
        <f t="shared" si="57"/>
        <v>-877682.58313200006</v>
      </c>
      <c r="J244" s="17">
        <f t="shared" si="57"/>
        <v>-2621795.5917490008</v>
      </c>
      <c r="K244" s="17">
        <f t="shared" si="57"/>
        <v>4000000</v>
      </c>
    </row>
    <row r="245" spans="1:11" ht="15.75" thickTop="1" x14ac:dyDescent="0.25"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C246" s="13"/>
    </row>
  </sheetData>
  <sheetProtection algorithmName="SHA-512" hashValue="EP50ucTD9QbHV4l7N5nSaSMo0P++4k/Q2e1YNgwOpRoeiqyAxS4NGhOxmHFB8Pw9SIYHsw+NMB/f6xFssRIFFw==" saltValue="CAhB5Y8tF59e9Ru8eyl1q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LIKVIDITETSUDVIKLING 2022</vt:lpstr>
      <vt:lpstr>BUDGET 2022</vt:lpstr>
      <vt:lpstr>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Majbritt Lagersted</dc:creator>
  <cp:lastModifiedBy>Hanne Heger Wendel</cp:lastModifiedBy>
  <dcterms:created xsi:type="dcterms:W3CDTF">2021-11-16T19:11:55Z</dcterms:created>
  <dcterms:modified xsi:type="dcterms:W3CDTF">2022-02-08T10:22:58Z</dcterms:modified>
</cp:coreProperties>
</file>