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od-print-fil-01\personligtdrev\hhw\FGU Sekretariat\Bestyrelsesmøder\33. møde d. 08.12.22\"/>
    </mc:Choice>
  </mc:AlternateContent>
  <xr:revisionPtr revIDLastSave="0" documentId="13_ncr:1_{B40BD268-512D-4535-8ACC-175584BBC598}" xr6:coauthVersionLast="47" xr6:coauthVersionMax="47" xr10:uidLastSave="{00000000-0000-0000-0000-000000000000}"/>
  <bookViews>
    <workbookView xWindow="-120" yWindow="-120" windowWidth="20730" windowHeight="11160" firstSheet="4" activeTab="11" xr2:uid="{00000000-000D-0000-FFFF-FFFF00000000}"/>
  </bookViews>
  <sheets>
    <sheet name="Likviditet" sheetId="11" r:id="rId1"/>
    <sheet name="Noter" sheetId="13" r:id="rId2"/>
    <sheet name="Budget 2023" sheetId="10" r:id="rId3"/>
    <sheet name="SIMULERING" sheetId="12" r:id="rId4"/>
    <sheet name="Administration" sheetId="2" r:id="rId5"/>
    <sheet name="Odense" sheetId="3" r:id="rId6"/>
    <sheet name="Laks" sheetId="4" r:id="rId7"/>
    <sheet name="Assens" sheetId="5" r:id="rId8"/>
    <sheet name="Nyborg" sheetId="6" r:id="rId9"/>
    <sheet name="Nordfyn" sheetId="7" r:id="rId10"/>
    <sheet name="Kerteminde" sheetId="8" r:id="rId11"/>
    <sheet name="Særtilskud" sheetId="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2" l="1"/>
  <c r="J18" i="12"/>
  <c r="I18" i="12"/>
  <c r="J10" i="12"/>
  <c r="J27" i="12" s="1"/>
  <c r="J31" i="12" s="1"/>
  <c r="I10" i="12"/>
  <c r="I27" i="12" s="1"/>
  <c r="I31" i="12" s="1"/>
  <c r="K7" i="12"/>
  <c r="K10" i="12" s="1"/>
  <c r="K27" i="12" s="1"/>
  <c r="K31" i="12" s="1"/>
  <c r="J7" i="12"/>
  <c r="I89" i="3"/>
  <c r="I188" i="8"/>
  <c r="I89" i="8"/>
  <c r="I188" i="7"/>
  <c r="I89" i="7"/>
  <c r="I188" i="6"/>
  <c r="I89" i="6"/>
  <c r="I89" i="5"/>
  <c r="I188" i="5"/>
  <c r="I188" i="3"/>
  <c r="I140" i="3"/>
  <c r="I140" i="8"/>
  <c r="I140" i="7"/>
  <c r="I140" i="6"/>
  <c r="I140" i="5"/>
  <c r="I140" i="4"/>
  <c r="I139" i="2"/>
  <c r="K170" i="10" l="1"/>
  <c r="I54" i="4" l="1"/>
  <c r="I173" i="3"/>
  <c r="I173" i="5"/>
  <c r="I177" i="2" l="1"/>
  <c r="I89" i="4"/>
  <c r="I176" i="6"/>
  <c r="I178" i="7"/>
  <c r="I178" i="6"/>
  <c r="I178" i="8"/>
  <c r="I178" i="5"/>
  <c r="I178" i="3"/>
  <c r="I176" i="3"/>
  <c r="I176" i="5"/>
  <c r="I171" i="2"/>
  <c r="I157" i="2"/>
  <c r="I85" i="2"/>
  <c r="I75" i="2"/>
  <c r="I240" i="6"/>
  <c r="I240" i="5"/>
  <c r="I212" i="7"/>
  <c r="I212" i="8"/>
  <c r="I187" i="7"/>
  <c r="I183" i="7"/>
  <c r="I183" i="3"/>
  <c r="I187" i="3"/>
  <c r="I183" i="5"/>
  <c r="I187" i="5"/>
  <c r="I183" i="6"/>
  <c r="I187" i="6"/>
  <c r="I176" i="8"/>
  <c r="I176" i="7"/>
  <c r="I173" i="7"/>
  <c r="I180" i="7"/>
  <c r="I168" i="7"/>
  <c r="I164" i="7"/>
  <c r="I163" i="7"/>
  <c r="I161" i="7"/>
  <c r="I155" i="3"/>
  <c r="I155" i="5"/>
  <c r="I155" i="6"/>
  <c r="I155" i="7"/>
  <c r="I188" i="4"/>
  <c r="I183" i="8"/>
  <c r="I155" i="8"/>
  <c r="I187" i="8"/>
  <c r="I44" i="9"/>
  <c r="I163" i="8"/>
  <c r="I173" i="8"/>
  <c r="I168" i="8"/>
  <c r="I153" i="8"/>
  <c r="I74" i="8"/>
  <c r="I75" i="8"/>
  <c r="I52" i="8"/>
  <c r="I39" i="3" l="1"/>
  <c r="I43" i="2" l="1"/>
  <c r="I55" i="3"/>
  <c r="I8" i="11"/>
  <c r="I43" i="8" l="1"/>
  <c r="I43" i="7"/>
  <c r="I43" i="6"/>
  <c r="I43" i="5"/>
  <c r="I43" i="3"/>
  <c r="D43" i="3"/>
  <c r="I5" i="11"/>
  <c r="I186" i="4" l="1"/>
  <c r="I180" i="3"/>
  <c r="I146" i="4"/>
  <c r="I145" i="4"/>
  <c r="I181" i="8" l="1"/>
  <c r="I181" i="6"/>
  <c r="I185" i="5"/>
  <c r="I181" i="5"/>
  <c r="I180" i="5"/>
  <c r="I181" i="3"/>
  <c r="I39" i="8" l="1"/>
  <c r="I39" i="7"/>
  <c r="I39" i="6"/>
  <c r="I39" i="5"/>
  <c r="P134" i="10" l="1"/>
  <c r="K140" i="6"/>
  <c r="K140" i="4"/>
  <c r="K140" i="3"/>
  <c r="K139" i="2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3" i="3"/>
  <c r="K125" i="3"/>
  <c r="K127" i="3"/>
  <c r="K128" i="3"/>
  <c r="K129" i="3"/>
  <c r="K130" i="3"/>
  <c r="K131" i="3"/>
  <c r="K132" i="3"/>
  <c r="K133" i="3"/>
  <c r="K134" i="3"/>
  <c r="K136" i="3"/>
  <c r="K137" i="3"/>
  <c r="K138" i="3"/>
  <c r="K139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9" i="3"/>
  <c r="K230" i="3"/>
  <c r="K231" i="3"/>
  <c r="K232" i="3"/>
  <c r="K233" i="3"/>
  <c r="K234" i="3"/>
  <c r="K235" i="3"/>
  <c r="K237" i="3"/>
  <c r="K238" i="3"/>
  <c r="K239" i="3"/>
  <c r="K240" i="3"/>
  <c r="K241" i="3"/>
  <c r="K243" i="3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3" i="4"/>
  <c r="K125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9" i="4"/>
  <c r="K230" i="4"/>
  <c r="K231" i="4"/>
  <c r="K232" i="4"/>
  <c r="K233" i="4"/>
  <c r="K234" i="4"/>
  <c r="K235" i="4"/>
  <c r="K237" i="4"/>
  <c r="K238" i="4"/>
  <c r="K239" i="4"/>
  <c r="K240" i="4"/>
  <c r="K241" i="4"/>
  <c r="K243" i="4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3" i="5"/>
  <c r="K125" i="5"/>
  <c r="K127" i="5"/>
  <c r="K128" i="5"/>
  <c r="K129" i="5"/>
  <c r="K130" i="5"/>
  <c r="K131" i="5"/>
  <c r="K132" i="5"/>
  <c r="K133" i="5"/>
  <c r="K134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9" i="5"/>
  <c r="K230" i="5"/>
  <c r="K231" i="5"/>
  <c r="K232" i="5"/>
  <c r="K233" i="5"/>
  <c r="K234" i="5"/>
  <c r="K235" i="5"/>
  <c r="K237" i="5"/>
  <c r="K238" i="5"/>
  <c r="K239" i="5"/>
  <c r="K240" i="5"/>
  <c r="K241" i="5"/>
  <c r="K243" i="5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3" i="6"/>
  <c r="K125" i="6"/>
  <c r="K127" i="6"/>
  <c r="K128" i="6"/>
  <c r="K129" i="6"/>
  <c r="K130" i="6"/>
  <c r="K131" i="6"/>
  <c r="K132" i="6"/>
  <c r="K133" i="6"/>
  <c r="K134" i="6"/>
  <c r="K136" i="6"/>
  <c r="K137" i="6"/>
  <c r="K138" i="6"/>
  <c r="K139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9" i="6"/>
  <c r="K230" i="6"/>
  <c r="K231" i="6"/>
  <c r="K232" i="6"/>
  <c r="K233" i="6"/>
  <c r="K234" i="6"/>
  <c r="K235" i="6"/>
  <c r="K237" i="6"/>
  <c r="K238" i="6"/>
  <c r="K239" i="6"/>
  <c r="K240" i="6"/>
  <c r="K241" i="6"/>
  <c r="K243" i="6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3" i="7"/>
  <c r="K125" i="7"/>
  <c r="K127" i="7"/>
  <c r="K128" i="7"/>
  <c r="K129" i="7"/>
  <c r="K130" i="7"/>
  <c r="K131" i="7"/>
  <c r="K132" i="7"/>
  <c r="K133" i="7"/>
  <c r="K134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9" i="7"/>
  <c r="K220" i="7"/>
  <c r="K221" i="7"/>
  <c r="K222" i="7"/>
  <c r="K223" i="7"/>
  <c r="K224" i="7"/>
  <c r="K225" i="7"/>
  <c r="K226" i="7"/>
  <c r="K227" i="7"/>
  <c r="K229" i="7"/>
  <c r="K230" i="7"/>
  <c r="K231" i="7"/>
  <c r="K232" i="7"/>
  <c r="K233" i="7"/>
  <c r="K234" i="7"/>
  <c r="K235" i="7"/>
  <c r="K237" i="7"/>
  <c r="K238" i="7"/>
  <c r="K239" i="7"/>
  <c r="K240" i="7"/>
  <c r="K241" i="7"/>
  <c r="K243" i="7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7" i="2"/>
  <c r="K108" i="2"/>
  <c r="K109" i="2"/>
  <c r="K110" i="2"/>
  <c r="K112" i="2"/>
  <c r="K113" i="2"/>
  <c r="K114" i="2"/>
  <c r="K115" i="2"/>
  <c r="K116" i="2"/>
  <c r="K117" i="2"/>
  <c r="K118" i="2"/>
  <c r="K119" i="2"/>
  <c r="K120" i="2"/>
  <c r="K123" i="2"/>
  <c r="K125" i="2"/>
  <c r="K127" i="2"/>
  <c r="K128" i="2"/>
  <c r="K129" i="2"/>
  <c r="K130" i="2"/>
  <c r="K131" i="2"/>
  <c r="K132" i="2"/>
  <c r="K133" i="2"/>
  <c r="K134" i="2"/>
  <c r="K136" i="2"/>
  <c r="K137" i="2"/>
  <c r="K138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9" i="2"/>
  <c r="K230" i="2"/>
  <c r="K231" i="2"/>
  <c r="K232" i="2"/>
  <c r="K233" i="2"/>
  <c r="K234" i="2"/>
  <c r="K235" i="2"/>
  <c r="K237" i="2"/>
  <c r="K238" i="2"/>
  <c r="K239" i="2"/>
  <c r="K240" i="2"/>
  <c r="K241" i="2"/>
  <c r="K243" i="2"/>
  <c r="K84" i="3"/>
  <c r="K84" i="4"/>
  <c r="K84" i="5"/>
  <c r="K84" i="6"/>
  <c r="K84" i="7"/>
  <c r="K84" i="2"/>
  <c r="M83" i="10"/>
  <c r="P139" i="10"/>
  <c r="M182" i="10"/>
  <c r="P177" i="10"/>
  <c r="L175" i="10"/>
  <c r="O33" i="10"/>
  <c r="N33" i="10"/>
  <c r="O10" i="10"/>
  <c r="K13" i="10"/>
  <c r="L13" i="10"/>
  <c r="M13" i="10"/>
  <c r="N13" i="10"/>
  <c r="O13" i="10"/>
  <c r="P13" i="10"/>
  <c r="Q13" i="10"/>
  <c r="R13" i="10"/>
  <c r="K16" i="10"/>
  <c r="L16" i="10"/>
  <c r="M16" i="10"/>
  <c r="N16" i="10"/>
  <c r="O16" i="10"/>
  <c r="P16" i="10"/>
  <c r="Q16" i="10"/>
  <c r="R16" i="10"/>
  <c r="K33" i="10"/>
  <c r="L33" i="10"/>
  <c r="M33" i="10"/>
  <c r="P33" i="10"/>
  <c r="Q33" i="10"/>
  <c r="R33" i="10"/>
  <c r="K34" i="10"/>
  <c r="L34" i="10"/>
  <c r="M34" i="10"/>
  <c r="N34" i="10"/>
  <c r="O34" i="10"/>
  <c r="P34" i="10"/>
  <c r="Q34" i="10"/>
  <c r="R34" i="10"/>
  <c r="K35" i="10"/>
  <c r="L35" i="10"/>
  <c r="M35" i="10"/>
  <c r="N35" i="10"/>
  <c r="O35" i="10"/>
  <c r="P35" i="10"/>
  <c r="Q35" i="10"/>
  <c r="R35" i="10"/>
  <c r="K36" i="10"/>
  <c r="L36" i="10"/>
  <c r="M36" i="10"/>
  <c r="N36" i="10"/>
  <c r="O36" i="10"/>
  <c r="P36" i="10"/>
  <c r="Q36" i="10"/>
  <c r="R36" i="10"/>
  <c r="K37" i="10"/>
  <c r="L37" i="10"/>
  <c r="M37" i="10"/>
  <c r="N37" i="10"/>
  <c r="O37" i="10"/>
  <c r="P37" i="10"/>
  <c r="Q37" i="10"/>
  <c r="R37" i="10"/>
  <c r="K38" i="10"/>
  <c r="L38" i="10"/>
  <c r="M38" i="10"/>
  <c r="N38" i="10"/>
  <c r="O38" i="10"/>
  <c r="P38" i="10"/>
  <c r="Q38" i="10"/>
  <c r="R38" i="10"/>
  <c r="K40" i="10"/>
  <c r="L40" i="10"/>
  <c r="M40" i="10"/>
  <c r="N40" i="10"/>
  <c r="O40" i="10"/>
  <c r="P40" i="10"/>
  <c r="Q40" i="10"/>
  <c r="R40" i="10"/>
  <c r="K41" i="10"/>
  <c r="L41" i="10"/>
  <c r="M41" i="10"/>
  <c r="N41" i="10"/>
  <c r="O41" i="10"/>
  <c r="P41" i="10"/>
  <c r="Q41" i="10"/>
  <c r="R41" i="10"/>
  <c r="K42" i="10"/>
  <c r="L42" i="10"/>
  <c r="M42" i="10"/>
  <c r="N42" i="10"/>
  <c r="O42" i="10"/>
  <c r="P42" i="10"/>
  <c r="Q42" i="10"/>
  <c r="R42" i="10"/>
  <c r="K43" i="10"/>
  <c r="L43" i="10"/>
  <c r="M43" i="10"/>
  <c r="N43" i="10"/>
  <c r="O43" i="10"/>
  <c r="P43" i="10"/>
  <c r="Q43" i="10"/>
  <c r="R43" i="10"/>
  <c r="K44" i="10"/>
  <c r="L44" i="10"/>
  <c r="M44" i="10"/>
  <c r="N44" i="10"/>
  <c r="O44" i="10"/>
  <c r="P44" i="10"/>
  <c r="Q44" i="10"/>
  <c r="R44" i="10"/>
  <c r="K45" i="10"/>
  <c r="L45" i="10"/>
  <c r="M45" i="10"/>
  <c r="N45" i="10"/>
  <c r="O45" i="10"/>
  <c r="P45" i="10"/>
  <c r="Q45" i="10"/>
  <c r="R45" i="10"/>
  <c r="K46" i="10"/>
  <c r="L46" i="10"/>
  <c r="M46" i="10"/>
  <c r="N46" i="10"/>
  <c r="O46" i="10"/>
  <c r="P46" i="10"/>
  <c r="Q46" i="10"/>
  <c r="R46" i="10"/>
  <c r="K47" i="10"/>
  <c r="L47" i="10"/>
  <c r="M47" i="10"/>
  <c r="N47" i="10"/>
  <c r="O47" i="10"/>
  <c r="P47" i="10"/>
  <c r="Q47" i="10"/>
  <c r="R47" i="10"/>
  <c r="K48" i="10"/>
  <c r="L48" i="10"/>
  <c r="M48" i="10"/>
  <c r="N48" i="10"/>
  <c r="O48" i="10"/>
  <c r="P48" i="10"/>
  <c r="Q48" i="10"/>
  <c r="R48" i="10"/>
  <c r="K49" i="10"/>
  <c r="L49" i="10"/>
  <c r="M49" i="10"/>
  <c r="N49" i="10"/>
  <c r="O49" i="10"/>
  <c r="P49" i="10"/>
  <c r="Q49" i="10"/>
  <c r="R49" i="10"/>
  <c r="K50" i="10"/>
  <c r="L50" i="10"/>
  <c r="M50" i="10"/>
  <c r="N50" i="10"/>
  <c r="O50" i="10"/>
  <c r="P50" i="10"/>
  <c r="Q50" i="10"/>
  <c r="R50" i="10"/>
  <c r="K51" i="10"/>
  <c r="L51" i="10"/>
  <c r="M51" i="10"/>
  <c r="N51" i="10"/>
  <c r="O51" i="10"/>
  <c r="P51" i="10"/>
  <c r="Q51" i="10"/>
  <c r="R51" i="10"/>
  <c r="K53" i="10"/>
  <c r="L53" i="10"/>
  <c r="M53" i="10"/>
  <c r="N53" i="10"/>
  <c r="O53" i="10"/>
  <c r="P53" i="10"/>
  <c r="Q53" i="10"/>
  <c r="R53" i="10"/>
  <c r="K54" i="10"/>
  <c r="L54" i="10"/>
  <c r="M54" i="10"/>
  <c r="N54" i="10"/>
  <c r="O54" i="10"/>
  <c r="P54" i="10"/>
  <c r="Q54" i="10"/>
  <c r="R54" i="10"/>
  <c r="K55" i="10"/>
  <c r="L55" i="10"/>
  <c r="M55" i="10"/>
  <c r="N55" i="10"/>
  <c r="O55" i="10"/>
  <c r="P55" i="10"/>
  <c r="Q55" i="10"/>
  <c r="R55" i="10"/>
  <c r="N56" i="10"/>
  <c r="K57" i="10"/>
  <c r="L57" i="10"/>
  <c r="M57" i="10"/>
  <c r="N57" i="10"/>
  <c r="O57" i="10"/>
  <c r="P57" i="10"/>
  <c r="Q57" i="10"/>
  <c r="R57" i="10"/>
  <c r="K59" i="10"/>
  <c r="L59" i="10"/>
  <c r="M59" i="10"/>
  <c r="N59" i="10"/>
  <c r="O59" i="10"/>
  <c r="P59" i="10"/>
  <c r="Q59" i="10"/>
  <c r="R59" i="10"/>
  <c r="K60" i="10"/>
  <c r="L60" i="10"/>
  <c r="M60" i="10"/>
  <c r="N60" i="10"/>
  <c r="O60" i="10"/>
  <c r="P60" i="10"/>
  <c r="Q60" i="10"/>
  <c r="R60" i="10"/>
  <c r="K61" i="10"/>
  <c r="L61" i="10"/>
  <c r="M61" i="10"/>
  <c r="N61" i="10"/>
  <c r="O61" i="10"/>
  <c r="P61" i="10"/>
  <c r="Q61" i="10"/>
  <c r="R61" i="10"/>
  <c r="K62" i="10"/>
  <c r="L62" i="10"/>
  <c r="M62" i="10"/>
  <c r="N62" i="10"/>
  <c r="O62" i="10"/>
  <c r="P62" i="10"/>
  <c r="Q62" i="10"/>
  <c r="R62" i="10"/>
  <c r="N63" i="10"/>
  <c r="P63" i="10"/>
  <c r="K64" i="10"/>
  <c r="L64" i="10"/>
  <c r="M64" i="10"/>
  <c r="N64" i="10"/>
  <c r="O64" i="10"/>
  <c r="P64" i="10"/>
  <c r="Q64" i="10"/>
  <c r="R64" i="10"/>
  <c r="K65" i="10"/>
  <c r="L65" i="10"/>
  <c r="M65" i="10"/>
  <c r="N65" i="10"/>
  <c r="O65" i="10"/>
  <c r="P65" i="10"/>
  <c r="Q65" i="10"/>
  <c r="R65" i="10"/>
  <c r="K66" i="10"/>
  <c r="L66" i="10"/>
  <c r="M66" i="10"/>
  <c r="N66" i="10"/>
  <c r="O66" i="10"/>
  <c r="P66" i="10"/>
  <c r="Q66" i="10"/>
  <c r="R66" i="10"/>
  <c r="K67" i="10"/>
  <c r="L67" i="10"/>
  <c r="M67" i="10"/>
  <c r="N67" i="10"/>
  <c r="O67" i="10"/>
  <c r="P67" i="10"/>
  <c r="Q67" i="10"/>
  <c r="R67" i="10"/>
  <c r="K68" i="10"/>
  <c r="L68" i="10"/>
  <c r="M68" i="10"/>
  <c r="N68" i="10"/>
  <c r="O68" i="10"/>
  <c r="P68" i="10"/>
  <c r="Q68" i="10"/>
  <c r="R68" i="10"/>
  <c r="K69" i="10"/>
  <c r="L69" i="10"/>
  <c r="M69" i="10"/>
  <c r="N69" i="10"/>
  <c r="O69" i="10"/>
  <c r="P69" i="10"/>
  <c r="Q69" i="10"/>
  <c r="R69" i="10"/>
  <c r="K71" i="10"/>
  <c r="L71" i="10"/>
  <c r="M71" i="10"/>
  <c r="N71" i="10"/>
  <c r="O71" i="10"/>
  <c r="P71" i="10"/>
  <c r="Q71" i="10"/>
  <c r="R71" i="10"/>
  <c r="K72" i="10"/>
  <c r="L72" i="10"/>
  <c r="M72" i="10"/>
  <c r="N72" i="10"/>
  <c r="O72" i="10"/>
  <c r="P72" i="10"/>
  <c r="Q72" i="10"/>
  <c r="R72" i="10"/>
  <c r="K73" i="10"/>
  <c r="L73" i="10"/>
  <c r="M73" i="10"/>
  <c r="N73" i="10"/>
  <c r="O73" i="10"/>
  <c r="P73" i="10"/>
  <c r="Q73" i="10"/>
  <c r="R73" i="10"/>
  <c r="K74" i="10"/>
  <c r="L74" i="10"/>
  <c r="M74" i="10"/>
  <c r="N74" i="10"/>
  <c r="O74" i="10"/>
  <c r="P74" i="10"/>
  <c r="Q74" i="10"/>
  <c r="R74" i="10"/>
  <c r="K76" i="10"/>
  <c r="L76" i="10"/>
  <c r="M76" i="10"/>
  <c r="N76" i="10"/>
  <c r="O76" i="10"/>
  <c r="P76" i="10"/>
  <c r="Q76" i="10"/>
  <c r="R76" i="10"/>
  <c r="K77" i="10"/>
  <c r="L77" i="10"/>
  <c r="M77" i="10"/>
  <c r="N77" i="10"/>
  <c r="O77" i="10"/>
  <c r="P77" i="10"/>
  <c r="Q77" i="10"/>
  <c r="R77" i="10"/>
  <c r="K78" i="10"/>
  <c r="L78" i="10"/>
  <c r="M78" i="10"/>
  <c r="N78" i="10"/>
  <c r="O78" i="10"/>
  <c r="P78" i="10"/>
  <c r="Q78" i="10"/>
  <c r="R78" i="10"/>
  <c r="K79" i="10"/>
  <c r="L79" i="10"/>
  <c r="M79" i="10"/>
  <c r="N79" i="10"/>
  <c r="O79" i="10"/>
  <c r="P79" i="10"/>
  <c r="Q79" i="10"/>
  <c r="R79" i="10"/>
  <c r="K80" i="10"/>
  <c r="L80" i="10"/>
  <c r="M80" i="10"/>
  <c r="N80" i="10"/>
  <c r="O80" i="10"/>
  <c r="P80" i="10"/>
  <c r="Q80" i="10"/>
  <c r="R80" i="10"/>
  <c r="K81" i="10"/>
  <c r="L81" i="10"/>
  <c r="M81" i="10"/>
  <c r="N81" i="10"/>
  <c r="O81" i="10"/>
  <c r="P81" i="10"/>
  <c r="Q81" i="10"/>
  <c r="R81" i="10"/>
  <c r="K82" i="10"/>
  <c r="L82" i="10"/>
  <c r="M82" i="10"/>
  <c r="N82" i="10"/>
  <c r="O82" i="10"/>
  <c r="P82" i="10"/>
  <c r="Q82" i="10"/>
  <c r="R82" i="10"/>
  <c r="K83" i="10"/>
  <c r="L83" i="10"/>
  <c r="N83" i="10"/>
  <c r="O83" i="10"/>
  <c r="P83" i="10"/>
  <c r="Q83" i="10"/>
  <c r="R83" i="10"/>
  <c r="K84" i="10"/>
  <c r="L84" i="10"/>
  <c r="M84" i="10"/>
  <c r="N84" i="10"/>
  <c r="O84" i="10"/>
  <c r="P84" i="10"/>
  <c r="Q84" i="10"/>
  <c r="R84" i="10"/>
  <c r="K85" i="10"/>
  <c r="L85" i="10"/>
  <c r="M85" i="10"/>
  <c r="N85" i="10"/>
  <c r="O85" i="10"/>
  <c r="P85" i="10"/>
  <c r="Q85" i="10"/>
  <c r="R85" i="10"/>
  <c r="K86" i="10"/>
  <c r="L86" i="10"/>
  <c r="M86" i="10"/>
  <c r="N86" i="10"/>
  <c r="O86" i="10"/>
  <c r="P86" i="10"/>
  <c r="Q86" i="10"/>
  <c r="R86" i="10"/>
  <c r="K87" i="10"/>
  <c r="L87" i="10"/>
  <c r="M87" i="10"/>
  <c r="N87" i="10"/>
  <c r="O87" i="10"/>
  <c r="P87" i="10"/>
  <c r="Q87" i="10"/>
  <c r="R87" i="10"/>
  <c r="K88" i="10"/>
  <c r="L88" i="10"/>
  <c r="M88" i="10"/>
  <c r="N88" i="10"/>
  <c r="O88" i="10"/>
  <c r="P88" i="10"/>
  <c r="Q88" i="10"/>
  <c r="R88" i="10"/>
  <c r="K89" i="10"/>
  <c r="L89" i="10"/>
  <c r="M89" i="10"/>
  <c r="N89" i="10"/>
  <c r="O89" i="10"/>
  <c r="P89" i="10"/>
  <c r="Q89" i="10"/>
  <c r="R89" i="10"/>
  <c r="K90" i="10"/>
  <c r="L90" i="10"/>
  <c r="M90" i="10"/>
  <c r="N90" i="10"/>
  <c r="O90" i="10"/>
  <c r="P90" i="10"/>
  <c r="Q90" i="10"/>
  <c r="R90" i="10"/>
  <c r="K91" i="10"/>
  <c r="L91" i="10"/>
  <c r="M91" i="10"/>
  <c r="N91" i="10"/>
  <c r="O91" i="10"/>
  <c r="P91" i="10"/>
  <c r="Q91" i="10"/>
  <c r="R91" i="10"/>
  <c r="K92" i="10"/>
  <c r="L92" i="10"/>
  <c r="M92" i="10"/>
  <c r="N92" i="10"/>
  <c r="O92" i="10"/>
  <c r="P92" i="10"/>
  <c r="Q92" i="10"/>
  <c r="R92" i="10"/>
  <c r="K93" i="10"/>
  <c r="L93" i="10"/>
  <c r="M93" i="10"/>
  <c r="N93" i="10"/>
  <c r="O93" i="10"/>
  <c r="P93" i="10"/>
  <c r="Q93" i="10"/>
  <c r="R93" i="10"/>
  <c r="K94" i="10"/>
  <c r="L94" i="10"/>
  <c r="M94" i="10"/>
  <c r="N94" i="10"/>
  <c r="O94" i="10"/>
  <c r="P94" i="10"/>
  <c r="Q94" i="10"/>
  <c r="R94" i="10"/>
  <c r="K95" i="10"/>
  <c r="L95" i="10"/>
  <c r="M95" i="10"/>
  <c r="N95" i="10"/>
  <c r="O95" i="10"/>
  <c r="P95" i="10"/>
  <c r="Q95" i="10"/>
  <c r="R95" i="10"/>
  <c r="K96" i="10"/>
  <c r="L96" i="10"/>
  <c r="M96" i="10"/>
  <c r="N96" i="10"/>
  <c r="O96" i="10"/>
  <c r="P96" i="10"/>
  <c r="Q96" i="10"/>
  <c r="R96" i="10"/>
  <c r="K97" i="10"/>
  <c r="L97" i="10"/>
  <c r="M97" i="10"/>
  <c r="N97" i="10"/>
  <c r="O97" i="10"/>
  <c r="P97" i="10"/>
  <c r="Q97" i="10"/>
  <c r="R97" i="10"/>
  <c r="K98" i="10"/>
  <c r="L98" i="10"/>
  <c r="M98" i="10"/>
  <c r="N98" i="10"/>
  <c r="O98" i="10"/>
  <c r="P98" i="10"/>
  <c r="Q98" i="10"/>
  <c r="R98" i="10"/>
  <c r="K99" i="10"/>
  <c r="L99" i="10"/>
  <c r="M99" i="10"/>
  <c r="N99" i="10"/>
  <c r="O99" i="10"/>
  <c r="P99" i="10"/>
  <c r="Q99" i="10"/>
  <c r="R99" i="10"/>
  <c r="K101" i="10"/>
  <c r="L101" i="10"/>
  <c r="M101" i="10"/>
  <c r="N101" i="10"/>
  <c r="O101" i="10"/>
  <c r="P101" i="10"/>
  <c r="Q101" i="10"/>
  <c r="R101" i="10"/>
  <c r="K102" i="10"/>
  <c r="L102" i="10"/>
  <c r="M102" i="10"/>
  <c r="N102" i="10"/>
  <c r="O102" i="10"/>
  <c r="P102" i="10"/>
  <c r="Q102" i="10"/>
  <c r="R102" i="10"/>
  <c r="K103" i="10"/>
  <c r="L103" i="10"/>
  <c r="M103" i="10"/>
  <c r="N103" i="10"/>
  <c r="O103" i="10"/>
  <c r="P103" i="10"/>
  <c r="Q103" i="10"/>
  <c r="R103" i="10"/>
  <c r="K104" i="10"/>
  <c r="L104" i="10"/>
  <c r="M104" i="10"/>
  <c r="N104" i="10"/>
  <c r="O104" i="10"/>
  <c r="P104" i="10"/>
  <c r="Q104" i="10"/>
  <c r="R104" i="10"/>
  <c r="K106" i="10"/>
  <c r="L106" i="10"/>
  <c r="M106" i="10"/>
  <c r="N106" i="10"/>
  <c r="O106" i="10"/>
  <c r="P106" i="10"/>
  <c r="Q106" i="10"/>
  <c r="R106" i="10"/>
  <c r="K107" i="10"/>
  <c r="L107" i="10"/>
  <c r="M107" i="10"/>
  <c r="N107" i="10"/>
  <c r="O107" i="10"/>
  <c r="P107" i="10"/>
  <c r="Q107" i="10"/>
  <c r="R107" i="10"/>
  <c r="K108" i="10"/>
  <c r="L108" i="10"/>
  <c r="M108" i="10"/>
  <c r="N108" i="10"/>
  <c r="O108" i="10"/>
  <c r="P108" i="10"/>
  <c r="Q108" i="10"/>
  <c r="R108" i="10"/>
  <c r="K109" i="10"/>
  <c r="L109" i="10"/>
  <c r="M109" i="10"/>
  <c r="N109" i="10"/>
  <c r="O109" i="10"/>
  <c r="P109" i="10"/>
  <c r="Q109" i="10"/>
  <c r="R109" i="10"/>
  <c r="K110" i="10"/>
  <c r="L110" i="10"/>
  <c r="M110" i="10"/>
  <c r="N110" i="10"/>
  <c r="O110" i="10"/>
  <c r="P110" i="10"/>
  <c r="Q110" i="10"/>
  <c r="R110" i="10"/>
  <c r="K111" i="10"/>
  <c r="L111" i="10"/>
  <c r="M111" i="10"/>
  <c r="N111" i="10"/>
  <c r="O111" i="10"/>
  <c r="P111" i="10"/>
  <c r="Q111" i="10"/>
  <c r="R111" i="10"/>
  <c r="K112" i="10"/>
  <c r="L112" i="10"/>
  <c r="M112" i="10"/>
  <c r="N112" i="10"/>
  <c r="O112" i="10"/>
  <c r="P112" i="10"/>
  <c r="Q112" i="10"/>
  <c r="R112" i="10"/>
  <c r="K113" i="10"/>
  <c r="L113" i="10"/>
  <c r="M113" i="10"/>
  <c r="N113" i="10"/>
  <c r="O113" i="10"/>
  <c r="P113" i="10"/>
  <c r="Q113" i="10"/>
  <c r="R113" i="10"/>
  <c r="K114" i="10"/>
  <c r="L114" i="10"/>
  <c r="M114" i="10"/>
  <c r="N114" i="10"/>
  <c r="O114" i="10"/>
  <c r="P114" i="10"/>
  <c r="Q114" i="10"/>
  <c r="R114" i="10"/>
  <c r="K117" i="10"/>
  <c r="L117" i="10"/>
  <c r="M117" i="10"/>
  <c r="N117" i="10"/>
  <c r="O117" i="10"/>
  <c r="P117" i="10"/>
  <c r="Q117" i="10"/>
  <c r="R117" i="10"/>
  <c r="K119" i="10"/>
  <c r="L119" i="10"/>
  <c r="M119" i="10"/>
  <c r="N119" i="10"/>
  <c r="O119" i="10"/>
  <c r="P119" i="10"/>
  <c r="Q119" i="10"/>
  <c r="R119" i="10"/>
  <c r="K121" i="10"/>
  <c r="L121" i="10"/>
  <c r="M121" i="10"/>
  <c r="N121" i="10"/>
  <c r="O121" i="10"/>
  <c r="P121" i="10"/>
  <c r="Q121" i="10"/>
  <c r="R121" i="10"/>
  <c r="K122" i="10"/>
  <c r="L122" i="10"/>
  <c r="M122" i="10"/>
  <c r="N122" i="10"/>
  <c r="O122" i="10"/>
  <c r="P122" i="10"/>
  <c r="Q122" i="10"/>
  <c r="R122" i="10"/>
  <c r="K123" i="10"/>
  <c r="L123" i="10"/>
  <c r="M123" i="10"/>
  <c r="N123" i="10"/>
  <c r="O123" i="10"/>
  <c r="P123" i="10"/>
  <c r="Q123" i="10"/>
  <c r="R123" i="10"/>
  <c r="K124" i="10"/>
  <c r="L124" i="10"/>
  <c r="M124" i="10"/>
  <c r="N124" i="10"/>
  <c r="O124" i="10"/>
  <c r="P124" i="10"/>
  <c r="Q124" i="10"/>
  <c r="R124" i="10"/>
  <c r="K125" i="10"/>
  <c r="L125" i="10"/>
  <c r="M125" i="10"/>
  <c r="N125" i="10"/>
  <c r="O125" i="10"/>
  <c r="P125" i="10"/>
  <c r="Q125" i="10"/>
  <c r="R125" i="10"/>
  <c r="K126" i="10"/>
  <c r="L126" i="10"/>
  <c r="M126" i="10"/>
  <c r="N126" i="10"/>
  <c r="O126" i="10"/>
  <c r="P126" i="10"/>
  <c r="Q126" i="10"/>
  <c r="R126" i="10"/>
  <c r="K127" i="10"/>
  <c r="L127" i="10"/>
  <c r="M127" i="10"/>
  <c r="N127" i="10"/>
  <c r="O127" i="10"/>
  <c r="P127" i="10"/>
  <c r="Q127" i="10"/>
  <c r="R127" i="10"/>
  <c r="K128" i="10"/>
  <c r="L128" i="10"/>
  <c r="M128" i="10"/>
  <c r="N128" i="10"/>
  <c r="O128" i="10"/>
  <c r="P128" i="10"/>
  <c r="Q128" i="10"/>
  <c r="R128" i="10"/>
  <c r="K130" i="10"/>
  <c r="L130" i="10"/>
  <c r="M130" i="10"/>
  <c r="N130" i="10"/>
  <c r="O130" i="10"/>
  <c r="P130" i="10"/>
  <c r="Q130" i="10"/>
  <c r="R130" i="10"/>
  <c r="K131" i="10"/>
  <c r="L131" i="10"/>
  <c r="M131" i="10"/>
  <c r="N131" i="10"/>
  <c r="O131" i="10"/>
  <c r="P131" i="10"/>
  <c r="Q131" i="10"/>
  <c r="R131" i="10"/>
  <c r="K132" i="10"/>
  <c r="L132" i="10"/>
  <c r="M132" i="10"/>
  <c r="N132" i="10"/>
  <c r="O132" i="10"/>
  <c r="P132" i="10"/>
  <c r="Q132" i="10"/>
  <c r="R132" i="10"/>
  <c r="K133" i="10"/>
  <c r="L133" i="10"/>
  <c r="M133" i="10"/>
  <c r="N133" i="10"/>
  <c r="O133" i="10"/>
  <c r="P133" i="10"/>
  <c r="Q133" i="10"/>
  <c r="R133" i="10"/>
  <c r="K134" i="10"/>
  <c r="N134" i="10"/>
  <c r="R134" i="10"/>
  <c r="K135" i="10"/>
  <c r="L135" i="10"/>
  <c r="M135" i="10"/>
  <c r="N135" i="10"/>
  <c r="O135" i="10"/>
  <c r="P135" i="10"/>
  <c r="Q135" i="10"/>
  <c r="R135" i="10"/>
  <c r="K136" i="10"/>
  <c r="L136" i="10"/>
  <c r="M136" i="10"/>
  <c r="N136" i="10"/>
  <c r="O136" i="10"/>
  <c r="P136" i="10"/>
  <c r="Q136" i="10"/>
  <c r="R136" i="10"/>
  <c r="K137" i="10"/>
  <c r="L137" i="10"/>
  <c r="M137" i="10"/>
  <c r="N137" i="10"/>
  <c r="O137" i="10"/>
  <c r="P137" i="10"/>
  <c r="Q137" i="10"/>
  <c r="R137" i="10"/>
  <c r="K138" i="10"/>
  <c r="L138" i="10"/>
  <c r="M138" i="10"/>
  <c r="N138" i="10"/>
  <c r="O138" i="10"/>
  <c r="P138" i="10"/>
  <c r="Q138" i="10"/>
  <c r="R138" i="10"/>
  <c r="K139" i="10"/>
  <c r="L139" i="10"/>
  <c r="M139" i="10"/>
  <c r="N139" i="10"/>
  <c r="O139" i="10"/>
  <c r="Q139" i="10"/>
  <c r="R139" i="10"/>
  <c r="K140" i="10"/>
  <c r="L140" i="10"/>
  <c r="M140" i="10"/>
  <c r="N140" i="10"/>
  <c r="O140" i="10"/>
  <c r="P140" i="10"/>
  <c r="Q140" i="10"/>
  <c r="R140" i="10"/>
  <c r="K141" i="10"/>
  <c r="L141" i="10"/>
  <c r="M141" i="10"/>
  <c r="N141" i="10"/>
  <c r="O141" i="10"/>
  <c r="P141" i="10"/>
  <c r="Q141" i="10"/>
  <c r="R141" i="10"/>
  <c r="K142" i="10"/>
  <c r="L142" i="10"/>
  <c r="M142" i="10"/>
  <c r="N142" i="10"/>
  <c r="O142" i="10"/>
  <c r="P142" i="10"/>
  <c r="Q142" i="10"/>
  <c r="R142" i="10"/>
  <c r="K143" i="10"/>
  <c r="L143" i="10"/>
  <c r="M143" i="10"/>
  <c r="N143" i="10"/>
  <c r="O143" i="10"/>
  <c r="P143" i="10"/>
  <c r="Q143" i="10"/>
  <c r="R143" i="10"/>
  <c r="K144" i="10"/>
  <c r="L144" i="10"/>
  <c r="M144" i="10"/>
  <c r="N144" i="10"/>
  <c r="O144" i="10"/>
  <c r="P144" i="10"/>
  <c r="Q144" i="10"/>
  <c r="R144" i="10"/>
  <c r="K145" i="10"/>
  <c r="L145" i="10"/>
  <c r="M145" i="10"/>
  <c r="N145" i="10"/>
  <c r="O145" i="10"/>
  <c r="P145" i="10"/>
  <c r="Q145" i="10"/>
  <c r="R145" i="10"/>
  <c r="K146" i="10"/>
  <c r="L146" i="10"/>
  <c r="M146" i="10"/>
  <c r="N146" i="10"/>
  <c r="O146" i="10"/>
  <c r="P146" i="10"/>
  <c r="Q146" i="10"/>
  <c r="R146" i="10"/>
  <c r="K147" i="10"/>
  <c r="L147" i="10"/>
  <c r="M147" i="10"/>
  <c r="N147" i="10"/>
  <c r="O147" i="10"/>
  <c r="P147" i="10"/>
  <c r="Q147" i="10"/>
  <c r="R147" i="10"/>
  <c r="K148" i="10"/>
  <c r="L148" i="10"/>
  <c r="M148" i="10"/>
  <c r="N148" i="10"/>
  <c r="O148" i="10"/>
  <c r="P148" i="10"/>
  <c r="Q148" i="10"/>
  <c r="R148" i="10"/>
  <c r="K149" i="10"/>
  <c r="L149" i="10"/>
  <c r="M149" i="10"/>
  <c r="N149" i="10"/>
  <c r="O149" i="10"/>
  <c r="P149" i="10"/>
  <c r="Q149" i="10"/>
  <c r="R149" i="10"/>
  <c r="K150" i="10"/>
  <c r="L150" i="10"/>
  <c r="M150" i="10"/>
  <c r="N150" i="10"/>
  <c r="O150" i="10"/>
  <c r="P150" i="10"/>
  <c r="Q150" i="10"/>
  <c r="R150" i="10"/>
  <c r="K151" i="10"/>
  <c r="L151" i="10"/>
  <c r="M151" i="10"/>
  <c r="N151" i="10"/>
  <c r="O151" i="10"/>
  <c r="P151" i="10"/>
  <c r="Q151" i="10"/>
  <c r="R151" i="10"/>
  <c r="K152" i="10"/>
  <c r="L152" i="10"/>
  <c r="M152" i="10"/>
  <c r="N152" i="10"/>
  <c r="O152" i="10"/>
  <c r="P152" i="10"/>
  <c r="Q152" i="10"/>
  <c r="R152" i="10"/>
  <c r="K153" i="10"/>
  <c r="L153" i="10"/>
  <c r="M153" i="10"/>
  <c r="N153" i="10"/>
  <c r="O153" i="10"/>
  <c r="P153" i="10"/>
  <c r="Q153" i="10"/>
  <c r="R153" i="10"/>
  <c r="K154" i="10"/>
  <c r="L154" i="10"/>
  <c r="M154" i="10"/>
  <c r="N154" i="10"/>
  <c r="O154" i="10"/>
  <c r="P154" i="10"/>
  <c r="Q154" i="10"/>
  <c r="R154" i="10"/>
  <c r="K155" i="10"/>
  <c r="L155" i="10"/>
  <c r="M155" i="10"/>
  <c r="N155" i="10"/>
  <c r="O155" i="10"/>
  <c r="P155" i="10"/>
  <c r="Q155" i="10"/>
  <c r="R155" i="10"/>
  <c r="K156" i="10"/>
  <c r="L156" i="10"/>
  <c r="M156" i="10"/>
  <c r="N156" i="10"/>
  <c r="O156" i="10"/>
  <c r="P156" i="10"/>
  <c r="Q156" i="10"/>
  <c r="R156" i="10"/>
  <c r="K157" i="10"/>
  <c r="L157" i="10"/>
  <c r="M157" i="10"/>
  <c r="N157" i="10"/>
  <c r="O157" i="10"/>
  <c r="P157" i="10"/>
  <c r="Q157" i="10"/>
  <c r="R157" i="10"/>
  <c r="K158" i="10"/>
  <c r="L158" i="10"/>
  <c r="M158" i="10"/>
  <c r="N158" i="10"/>
  <c r="O158" i="10"/>
  <c r="P158" i="10"/>
  <c r="Q158" i="10"/>
  <c r="R158" i="10"/>
  <c r="K159" i="10"/>
  <c r="L159" i="10"/>
  <c r="M159" i="10"/>
  <c r="N159" i="10"/>
  <c r="O159" i="10"/>
  <c r="P159" i="10"/>
  <c r="Q159" i="10"/>
  <c r="R159" i="10"/>
  <c r="K160" i="10"/>
  <c r="L160" i="10"/>
  <c r="M160" i="10"/>
  <c r="N160" i="10"/>
  <c r="O160" i="10"/>
  <c r="P160" i="10"/>
  <c r="Q160" i="10"/>
  <c r="R160" i="10"/>
  <c r="K161" i="10"/>
  <c r="L161" i="10"/>
  <c r="M161" i="10"/>
  <c r="N161" i="10"/>
  <c r="O161" i="10"/>
  <c r="P161" i="10"/>
  <c r="Q161" i="10"/>
  <c r="R161" i="10"/>
  <c r="K162" i="10"/>
  <c r="L162" i="10"/>
  <c r="M162" i="10"/>
  <c r="N162" i="10"/>
  <c r="O162" i="10"/>
  <c r="P162" i="10"/>
  <c r="Q162" i="10"/>
  <c r="R162" i="10"/>
  <c r="K163" i="10"/>
  <c r="L163" i="10"/>
  <c r="M163" i="10"/>
  <c r="N163" i="10"/>
  <c r="O163" i="10"/>
  <c r="P163" i="10"/>
  <c r="Q163" i="10"/>
  <c r="R163" i="10"/>
  <c r="K164" i="10"/>
  <c r="L164" i="10"/>
  <c r="M164" i="10"/>
  <c r="N164" i="10"/>
  <c r="O164" i="10"/>
  <c r="P164" i="10"/>
  <c r="Q164" i="10"/>
  <c r="R164" i="10"/>
  <c r="K165" i="10"/>
  <c r="L165" i="10"/>
  <c r="M165" i="10"/>
  <c r="N165" i="10"/>
  <c r="O165" i="10"/>
  <c r="P165" i="10"/>
  <c r="Q165" i="10"/>
  <c r="R165" i="10"/>
  <c r="K166" i="10"/>
  <c r="L166" i="10"/>
  <c r="M166" i="10"/>
  <c r="N166" i="10"/>
  <c r="O166" i="10"/>
  <c r="P166" i="10"/>
  <c r="Q166" i="10"/>
  <c r="R166" i="10"/>
  <c r="K167" i="10"/>
  <c r="L167" i="10"/>
  <c r="M167" i="10"/>
  <c r="N167" i="10"/>
  <c r="O167" i="10"/>
  <c r="P167" i="10"/>
  <c r="Q167" i="10"/>
  <c r="R167" i="10"/>
  <c r="K168" i="10"/>
  <c r="L168" i="10"/>
  <c r="M168" i="10"/>
  <c r="N168" i="10"/>
  <c r="O168" i="10"/>
  <c r="P168" i="10"/>
  <c r="Q168" i="10"/>
  <c r="R168" i="10"/>
  <c r="K169" i="10"/>
  <c r="L169" i="10"/>
  <c r="M169" i="10"/>
  <c r="N169" i="10"/>
  <c r="O169" i="10"/>
  <c r="P169" i="10"/>
  <c r="Q169" i="10"/>
  <c r="R169" i="10"/>
  <c r="L170" i="10"/>
  <c r="M170" i="10"/>
  <c r="N170" i="10"/>
  <c r="O170" i="10"/>
  <c r="P170" i="10"/>
  <c r="Q170" i="10"/>
  <c r="R170" i="10"/>
  <c r="K171" i="10"/>
  <c r="L171" i="10"/>
  <c r="M171" i="10"/>
  <c r="N171" i="10"/>
  <c r="O171" i="10"/>
  <c r="P171" i="10"/>
  <c r="Q171" i="10"/>
  <c r="R171" i="10"/>
  <c r="K172" i="10"/>
  <c r="L172" i="10"/>
  <c r="M172" i="10"/>
  <c r="N172" i="10"/>
  <c r="O172" i="10"/>
  <c r="P172" i="10"/>
  <c r="Q172" i="10"/>
  <c r="R172" i="10"/>
  <c r="K173" i="10"/>
  <c r="L173" i="10"/>
  <c r="M173" i="10"/>
  <c r="N173" i="10"/>
  <c r="O173" i="10"/>
  <c r="P173" i="10"/>
  <c r="Q173" i="10"/>
  <c r="R173" i="10"/>
  <c r="K174" i="10"/>
  <c r="L174" i="10"/>
  <c r="M174" i="10"/>
  <c r="N174" i="10"/>
  <c r="O174" i="10"/>
  <c r="P174" i="10"/>
  <c r="Q174" i="10"/>
  <c r="R174" i="10"/>
  <c r="K175" i="10"/>
  <c r="M175" i="10"/>
  <c r="N175" i="10"/>
  <c r="O175" i="10"/>
  <c r="P175" i="10"/>
  <c r="Q175" i="10"/>
  <c r="R175" i="10"/>
  <c r="K176" i="10"/>
  <c r="L176" i="10"/>
  <c r="M176" i="10"/>
  <c r="N176" i="10"/>
  <c r="O176" i="10"/>
  <c r="P176" i="10"/>
  <c r="Q176" i="10"/>
  <c r="R176" i="10"/>
  <c r="K177" i="10"/>
  <c r="L177" i="10"/>
  <c r="M177" i="10"/>
  <c r="N177" i="10"/>
  <c r="O177" i="10"/>
  <c r="Q177" i="10"/>
  <c r="R177" i="10"/>
  <c r="K178" i="10"/>
  <c r="L178" i="10"/>
  <c r="M178" i="10"/>
  <c r="N178" i="10"/>
  <c r="O178" i="10"/>
  <c r="P178" i="10"/>
  <c r="Q178" i="10"/>
  <c r="R178" i="10"/>
  <c r="K179" i="10"/>
  <c r="L179" i="10"/>
  <c r="M179" i="10"/>
  <c r="N179" i="10"/>
  <c r="O179" i="10"/>
  <c r="P179" i="10"/>
  <c r="Q179" i="10"/>
  <c r="R179" i="10"/>
  <c r="K180" i="10"/>
  <c r="L180" i="10"/>
  <c r="M180" i="10"/>
  <c r="N180" i="10"/>
  <c r="O180" i="10"/>
  <c r="P180" i="10"/>
  <c r="Q180" i="10"/>
  <c r="R180" i="10"/>
  <c r="K181" i="10"/>
  <c r="L181" i="10"/>
  <c r="M181" i="10"/>
  <c r="N181" i="10"/>
  <c r="O181" i="10"/>
  <c r="P181" i="10"/>
  <c r="Q181" i="10"/>
  <c r="R181" i="10"/>
  <c r="K182" i="10"/>
  <c r="L182" i="10"/>
  <c r="N182" i="10"/>
  <c r="O182" i="10"/>
  <c r="P182" i="10"/>
  <c r="Q182" i="10"/>
  <c r="R182" i="10"/>
  <c r="K183" i="10"/>
  <c r="L183" i="10"/>
  <c r="M183" i="10"/>
  <c r="N183" i="10"/>
  <c r="O183" i="10"/>
  <c r="P183" i="10"/>
  <c r="Q183" i="10"/>
  <c r="R183" i="10"/>
  <c r="K184" i="10"/>
  <c r="L184" i="10"/>
  <c r="M184" i="10"/>
  <c r="N184" i="10"/>
  <c r="O184" i="10"/>
  <c r="P184" i="10"/>
  <c r="Q184" i="10"/>
  <c r="R184" i="10"/>
  <c r="K185" i="10"/>
  <c r="L185" i="10"/>
  <c r="M185" i="10"/>
  <c r="N185" i="10"/>
  <c r="O185" i="10"/>
  <c r="P185" i="10"/>
  <c r="Q185" i="10"/>
  <c r="R185" i="10"/>
  <c r="K186" i="10"/>
  <c r="L186" i="10"/>
  <c r="M186" i="10"/>
  <c r="N186" i="10"/>
  <c r="O186" i="10"/>
  <c r="P186" i="10"/>
  <c r="Q186" i="10"/>
  <c r="R186" i="10"/>
  <c r="K187" i="10"/>
  <c r="L187" i="10"/>
  <c r="M187" i="10"/>
  <c r="N187" i="10"/>
  <c r="O187" i="10"/>
  <c r="P187" i="10"/>
  <c r="Q187" i="10"/>
  <c r="R187" i="10"/>
  <c r="K188" i="10"/>
  <c r="L188" i="10"/>
  <c r="M188" i="10"/>
  <c r="N188" i="10"/>
  <c r="O188" i="10"/>
  <c r="P188" i="10"/>
  <c r="Q188" i="10"/>
  <c r="R188" i="10"/>
  <c r="K189" i="10"/>
  <c r="L189" i="10"/>
  <c r="M189" i="10"/>
  <c r="N189" i="10"/>
  <c r="O189" i="10"/>
  <c r="P189" i="10"/>
  <c r="Q189" i="10"/>
  <c r="R189" i="10"/>
  <c r="K190" i="10"/>
  <c r="L190" i="10"/>
  <c r="M190" i="10"/>
  <c r="N190" i="10"/>
  <c r="O190" i="10"/>
  <c r="P190" i="10"/>
  <c r="Q190" i="10"/>
  <c r="R190" i="10"/>
  <c r="K193" i="10"/>
  <c r="L193" i="10"/>
  <c r="M193" i="10"/>
  <c r="N193" i="10"/>
  <c r="O193" i="10"/>
  <c r="P193" i="10"/>
  <c r="Q193" i="10"/>
  <c r="R193" i="10"/>
  <c r="K194" i="10"/>
  <c r="L194" i="10"/>
  <c r="M194" i="10"/>
  <c r="N194" i="10"/>
  <c r="O194" i="10"/>
  <c r="P194" i="10"/>
  <c r="Q194" i="10"/>
  <c r="R194" i="10"/>
  <c r="K195" i="10"/>
  <c r="L195" i="10"/>
  <c r="M195" i="10"/>
  <c r="N195" i="10"/>
  <c r="O195" i="10"/>
  <c r="P195" i="10"/>
  <c r="Q195" i="10"/>
  <c r="R195" i="10"/>
  <c r="K196" i="10"/>
  <c r="L196" i="10"/>
  <c r="M196" i="10"/>
  <c r="N196" i="10"/>
  <c r="O196" i="10"/>
  <c r="P196" i="10"/>
  <c r="Q196" i="10"/>
  <c r="R196" i="10"/>
  <c r="K197" i="10"/>
  <c r="L197" i="10"/>
  <c r="M197" i="10"/>
  <c r="N197" i="10"/>
  <c r="O197" i="10"/>
  <c r="P197" i="10"/>
  <c r="Q197" i="10"/>
  <c r="R197" i="10"/>
  <c r="K198" i="10"/>
  <c r="L198" i="10"/>
  <c r="M198" i="10"/>
  <c r="N198" i="10"/>
  <c r="O198" i="10"/>
  <c r="P198" i="10"/>
  <c r="Q198" i="10"/>
  <c r="R198" i="10"/>
  <c r="K199" i="10"/>
  <c r="L199" i="10"/>
  <c r="M199" i="10"/>
  <c r="N199" i="10"/>
  <c r="O199" i="10"/>
  <c r="P199" i="10"/>
  <c r="Q199" i="10"/>
  <c r="R199" i="10"/>
  <c r="K200" i="10"/>
  <c r="L200" i="10"/>
  <c r="M200" i="10"/>
  <c r="N200" i="10"/>
  <c r="O200" i="10"/>
  <c r="P200" i="10"/>
  <c r="Q200" i="10"/>
  <c r="R200" i="10"/>
  <c r="K201" i="10"/>
  <c r="L201" i="10"/>
  <c r="M201" i="10"/>
  <c r="N201" i="10"/>
  <c r="O201" i="10"/>
  <c r="P201" i="10"/>
  <c r="Q201" i="10"/>
  <c r="R201" i="10"/>
  <c r="P202" i="10"/>
  <c r="Q202" i="10"/>
  <c r="R202" i="10"/>
  <c r="K204" i="10"/>
  <c r="L204" i="10"/>
  <c r="M204" i="10"/>
  <c r="N204" i="10"/>
  <c r="O204" i="10"/>
  <c r="P204" i="10"/>
  <c r="Q204" i="10"/>
  <c r="R204" i="10"/>
  <c r="K205" i="10"/>
  <c r="L205" i="10"/>
  <c r="M205" i="10"/>
  <c r="N205" i="10"/>
  <c r="O205" i="10"/>
  <c r="P205" i="10"/>
  <c r="Q205" i="10"/>
  <c r="R205" i="10"/>
  <c r="K206" i="10"/>
  <c r="L206" i="10"/>
  <c r="M206" i="10"/>
  <c r="N206" i="10"/>
  <c r="O206" i="10"/>
  <c r="P206" i="10"/>
  <c r="Q206" i="10"/>
  <c r="R206" i="10"/>
  <c r="K207" i="10"/>
  <c r="L207" i="10"/>
  <c r="M207" i="10"/>
  <c r="N207" i="10"/>
  <c r="O207" i="10"/>
  <c r="P207" i="10"/>
  <c r="Q207" i="10"/>
  <c r="R207" i="10"/>
  <c r="K208" i="10"/>
  <c r="L208" i="10"/>
  <c r="M208" i="10"/>
  <c r="N208" i="10"/>
  <c r="O208" i="10"/>
  <c r="P208" i="10"/>
  <c r="Q208" i="10"/>
  <c r="R208" i="10"/>
  <c r="K209" i="10"/>
  <c r="L209" i="10"/>
  <c r="M209" i="10"/>
  <c r="N209" i="10"/>
  <c r="O209" i="10"/>
  <c r="P209" i="10"/>
  <c r="Q209" i="10"/>
  <c r="R209" i="10"/>
  <c r="K210" i="10"/>
  <c r="L210" i="10"/>
  <c r="M210" i="10"/>
  <c r="N210" i="10"/>
  <c r="O210" i="10"/>
  <c r="P210" i="10"/>
  <c r="Q210" i="10"/>
  <c r="R210" i="10"/>
  <c r="K211" i="10"/>
  <c r="L211" i="10"/>
  <c r="M211" i="10"/>
  <c r="N211" i="10"/>
  <c r="O211" i="10"/>
  <c r="P211" i="10"/>
  <c r="Q211" i="10"/>
  <c r="R211" i="10"/>
  <c r="N212" i="10"/>
  <c r="K213" i="10"/>
  <c r="L213" i="10"/>
  <c r="M213" i="10"/>
  <c r="N213" i="10"/>
  <c r="O213" i="10"/>
  <c r="P213" i="10"/>
  <c r="Q213" i="10"/>
  <c r="R213" i="10"/>
  <c r="K214" i="10"/>
  <c r="L214" i="10"/>
  <c r="M214" i="10"/>
  <c r="N214" i="10"/>
  <c r="O214" i="10"/>
  <c r="P214" i="10"/>
  <c r="Q214" i="10"/>
  <c r="R214" i="10"/>
  <c r="K215" i="10"/>
  <c r="L215" i="10"/>
  <c r="M215" i="10"/>
  <c r="N215" i="10"/>
  <c r="O215" i="10"/>
  <c r="P215" i="10"/>
  <c r="Q215" i="10"/>
  <c r="R215" i="10"/>
  <c r="K216" i="10"/>
  <c r="M216" i="10"/>
  <c r="K217" i="10"/>
  <c r="L217" i="10"/>
  <c r="M217" i="10"/>
  <c r="N217" i="10"/>
  <c r="O217" i="10"/>
  <c r="P217" i="10"/>
  <c r="Q217" i="10"/>
  <c r="R217" i="10"/>
  <c r="K218" i="10"/>
  <c r="L218" i="10"/>
  <c r="M218" i="10"/>
  <c r="N218" i="10"/>
  <c r="O218" i="10"/>
  <c r="P218" i="10"/>
  <c r="Q218" i="10"/>
  <c r="R218" i="10"/>
  <c r="K219" i="10"/>
  <c r="L219" i="10"/>
  <c r="M219" i="10"/>
  <c r="N219" i="10"/>
  <c r="O219" i="10"/>
  <c r="P219" i="10"/>
  <c r="Q219" i="10"/>
  <c r="R219" i="10"/>
  <c r="K220" i="10"/>
  <c r="M220" i="10"/>
  <c r="K221" i="10"/>
  <c r="L221" i="10"/>
  <c r="M221" i="10"/>
  <c r="N221" i="10"/>
  <c r="O221" i="10"/>
  <c r="P221" i="10"/>
  <c r="Q221" i="10"/>
  <c r="R221" i="10"/>
  <c r="K223" i="10"/>
  <c r="L223" i="10"/>
  <c r="M223" i="10"/>
  <c r="N223" i="10"/>
  <c r="O223" i="10"/>
  <c r="P223" i="10"/>
  <c r="Q223" i="10"/>
  <c r="R223" i="10"/>
  <c r="K224" i="10"/>
  <c r="L224" i="10"/>
  <c r="M224" i="10"/>
  <c r="N224" i="10"/>
  <c r="O224" i="10"/>
  <c r="P224" i="10"/>
  <c r="Q224" i="10"/>
  <c r="R224" i="10"/>
  <c r="K225" i="10"/>
  <c r="L225" i="10"/>
  <c r="M225" i="10"/>
  <c r="N225" i="10"/>
  <c r="O225" i="10"/>
  <c r="P225" i="10"/>
  <c r="Q225" i="10"/>
  <c r="R225" i="10"/>
  <c r="K226" i="10"/>
  <c r="L226" i="10"/>
  <c r="M226" i="10"/>
  <c r="N226" i="10"/>
  <c r="O226" i="10"/>
  <c r="P226" i="10"/>
  <c r="Q226" i="10"/>
  <c r="R226" i="10"/>
  <c r="K227" i="10"/>
  <c r="L227" i="10"/>
  <c r="M227" i="10"/>
  <c r="N227" i="10"/>
  <c r="O227" i="10"/>
  <c r="P227" i="10"/>
  <c r="Q227" i="10"/>
  <c r="R227" i="10"/>
  <c r="K229" i="10"/>
  <c r="L229" i="10"/>
  <c r="M229" i="10"/>
  <c r="N229" i="10"/>
  <c r="O229" i="10"/>
  <c r="P229" i="10"/>
  <c r="Q229" i="10"/>
  <c r="R229" i="10"/>
  <c r="K231" i="10"/>
  <c r="L231" i="10"/>
  <c r="M231" i="10"/>
  <c r="N231" i="10"/>
  <c r="O231" i="10"/>
  <c r="P231" i="10"/>
  <c r="Q231" i="10"/>
  <c r="R231" i="10"/>
  <c r="K232" i="10"/>
  <c r="L232" i="10"/>
  <c r="M232" i="10"/>
  <c r="N232" i="10"/>
  <c r="O232" i="10"/>
  <c r="P232" i="10"/>
  <c r="Q232" i="10"/>
  <c r="R232" i="10"/>
  <c r="K233" i="10"/>
  <c r="L233" i="10"/>
  <c r="M233" i="10"/>
  <c r="N233" i="10"/>
  <c r="O233" i="10"/>
  <c r="P233" i="10"/>
  <c r="Q233" i="10"/>
  <c r="R233" i="10"/>
  <c r="K234" i="10"/>
  <c r="L234" i="10"/>
  <c r="M234" i="10"/>
  <c r="N234" i="10"/>
  <c r="O234" i="10"/>
  <c r="P234" i="10"/>
  <c r="Q234" i="10"/>
  <c r="R234" i="10"/>
  <c r="K235" i="10"/>
  <c r="L235" i="10"/>
  <c r="M235" i="10"/>
  <c r="N235" i="10"/>
  <c r="O235" i="10"/>
  <c r="P235" i="10"/>
  <c r="Q235" i="10"/>
  <c r="R235" i="10"/>
  <c r="P236" i="10"/>
  <c r="K237" i="10"/>
  <c r="L237" i="10"/>
  <c r="M237" i="10"/>
  <c r="N237" i="10"/>
  <c r="O237" i="10"/>
  <c r="P237" i="10"/>
  <c r="Q237" i="10"/>
  <c r="R237" i="10"/>
  <c r="I32" i="5"/>
  <c r="N26" i="10" s="1"/>
  <c r="I25" i="4"/>
  <c r="M19" i="10" s="1"/>
  <c r="I25" i="5"/>
  <c r="N19" i="10" s="1"/>
  <c r="I25" i="6"/>
  <c r="O19" i="10" s="1"/>
  <c r="I24" i="9"/>
  <c r="R18" i="10" s="1"/>
  <c r="I18" i="3"/>
  <c r="L12" i="10" s="1"/>
  <c r="I18" i="5"/>
  <c r="N12" i="10" s="1"/>
  <c r="I17" i="3"/>
  <c r="L11" i="10" s="1"/>
  <c r="I17" i="5"/>
  <c r="N11" i="10" s="1"/>
  <c r="I17" i="7"/>
  <c r="P11" i="10" s="1"/>
  <c r="I16" i="5"/>
  <c r="N10" i="10" s="1"/>
  <c r="I16" i="6"/>
  <c r="I16" i="7"/>
  <c r="P10" i="10" s="1"/>
  <c r="I242" i="3"/>
  <c r="L236" i="10" s="1"/>
  <c r="I242" i="4"/>
  <c r="M236" i="10" s="1"/>
  <c r="I242" i="5"/>
  <c r="K242" i="5" s="1"/>
  <c r="I242" i="6"/>
  <c r="O236" i="10" s="1"/>
  <c r="I242" i="7"/>
  <c r="I32" i="7" s="1"/>
  <c r="P26" i="10" s="1"/>
  <c r="I242" i="8"/>
  <c r="Q236" i="10" s="1"/>
  <c r="I242" i="9"/>
  <c r="I32" i="9" s="1"/>
  <c r="R26" i="10" s="1"/>
  <c r="I242" i="2"/>
  <c r="I32" i="2" s="1"/>
  <c r="K26" i="10" s="1"/>
  <c r="I234" i="3"/>
  <c r="L228" i="10" s="1"/>
  <c r="I234" i="4"/>
  <c r="M228" i="10" s="1"/>
  <c r="I234" i="5"/>
  <c r="N228" i="10" s="1"/>
  <c r="I234" i="6"/>
  <c r="O228" i="10" s="1"/>
  <c r="I234" i="7"/>
  <c r="P228" i="10" s="1"/>
  <c r="I234" i="8"/>
  <c r="Q228" i="10" s="1"/>
  <c r="I234" i="9"/>
  <c r="R228" i="10" s="1"/>
  <c r="I234" i="2"/>
  <c r="K228" i="10" s="1"/>
  <c r="I226" i="3"/>
  <c r="I28" i="3" s="1"/>
  <c r="L22" i="10" s="1"/>
  <c r="I226" i="4"/>
  <c r="I28" i="4" s="1"/>
  <c r="M22" i="10" s="1"/>
  <c r="I226" i="5"/>
  <c r="N220" i="10" s="1"/>
  <c r="I226" i="6"/>
  <c r="O220" i="10" s="1"/>
  <c r="I226" i="7"/>
  <c r="I28" i="7" s="1"/>
  <c r="P22" i="10" s="1"/>
  <c r="I226" i="8"/>
  <c r="Q220" i="10" s="1"/>
  <c r="I226" i="9"/>
  <c r="R220" i="10" s="1"/>
  <c r="I226" i="2"/>
  <c r="I28" i="2" s="1"/>
  <c r="K22" i="10" s="1"/>
  <c r="I222" i="3"/>
  <c r="L216" i="10" s="1"/>
  <c r="I222" i="4"/>
  <c r="I27" i="4" s="1"/>
  <c r="M21" i="10" s="1"/>
  <c r="I222" i="5"/>
  <c r="N216" i="10" s="1"/>
  <c r="I222" i="6"/>
  <c r="O216" i="10" s="1"/>
  <c r="I222" i="7"/>
  <c r="I27" i="7" s="1"/>
  <c r="P21" i="10" s="1"/>
  <c r="I222" i="8"/>
  <c r="Q216" i="10" s="1"/>
  <c r="I222" i="9"/>
  <c r="R216" i="10" s="1"/>
  <c r="I222" i="2"/>
  <c r="I27" i="2" s="1"/>
  <c r="K21" i="10" s="1"/>
  <c r="I218" i="3"/>
  <c r="L212" i="10" s="1"/>
  <c r="I218" i="4"/>
  <c r="I26" i="4" s="1"/>
  <c r="M20" i="10" s="1"/>
  <c r="I218" i="5"/>
  <c r="I26" i="5" s="1"/>
  <c r="N20" i="10" s="1"/>
  <c r="I218" i="6"/>
  <c r="O212" i="10" s="1"/>
  <c r="I218" i="7"/>
  <c r="P212" i="10" s="1"/>
  <c r="I218" i="8"/>
  <c r="I26" i="8" s="1"/>
  <c r="Q20" i="10" s="1"/>
  <c r="I218" i="9"/>
  <c r="I26" i="9" s="1"/>
  <c r="R20" i="10" s="1"/>
  <c r="I218" i="2"/>
  <c r="K212" i="10" s="1"/>
  <c r="I208" i="3"/>
  <c r="L202" i="10" s="1"/>
  <c r="I208" i="4"/>
  <c r="M202" i="10" s="1"/>
  <c r="I208" i="5"/>
  <c r="N202" i="10" s="1"/>
  <c r="I208" i="6"/>
  <c r="O202" i="10" s="1"/>
  <c r="I208" i="7"/>
  <c r="I25" i="7" s="1"/>
  <c r="P19" i="10" s="1"/>
  <c r="I208" i="8"/>
  <c r="I25" i="8" s="1"/>
  <c r="Q19" i="10" s="1"/>
  <c r="I208" i="9"/>
  <c r="I25" i="9" s="1"/>
  <c r="R19" i="10" s="1"/>
  <c r="I208" i="2"/>
  <c r="K202" i="10" s="1"/>
  <c r="I197" i="5"/>
  <c r="N191" i="10" s="1"/>
  <c r="I197" i="6"/>
  <c r="O191" i="10" s="1"/>
  <c r="I197" i="8"/>
  <c r="I24" i="8" s="1"/>
  <c r="I197" i="9"/>
  <c r="R191" i="10" s="1"/>
  <c r="I197" i="2"/>
  <c r="K191" i="10" s="1"/>
  <c r="I135" i="3"/>
  <c r="L129" i="10" s="1"/>
  <c r="I135" i="4"/>
  <c r="M129" i="10" s="1"/>
  <c r="I135" i="5"/>
  <c r="I23" i="5" s="1"/>
  <c r="N17" i="10" s="1"/>
  <c r="I135" i="6"/>
  <c r="O129" i="10" s="1"/>
  <c r="I135" i="7"/>
  <c r="P129" i="10" s="1"/>
  <c r="I135" i="8"/>
  <c r="Q129" i="10" s="1"/>
  <c r="I135" i="9"/>
  <c r="R129" i="10" s="1"/>
  <c r="I135" i="2"/>
  <c r="I23" i="2" s="1"/>
  <c r="K17" i="10" s="1"/>
  <c r="I121" i="3"/>
  <c r="L115" i="10" s="1"/>
  <c r="I121" i="4"/>
  <c r="M115" i="10" s="1"/>
  <c r="I121" i="5"/>
  <c r="N115" i="10" s="1"/>
  <c r="I121" i="6"/>
  <c r="O115" i="10" s="1"/>
  <c r="I121" i="7"/>
  <c r="P115" i="10" s="1"/>
  <c r="I121" i="8"/>
  <c r="Q115" i="10" s="1"/>
  <c r="I121" i="9"/>
  <c r="I122" i="9" s="1"/>
  <c r="I121" i="2"/>
  <c r="K115" i="10" s="1"/>
  <c r="I111" i="3"/>
  <c r="L105" i="10" s="1"/>
  <c r="I111" i="4"/>
  <c r="I111" i="5"/>
  <c r="N105" i="10" s="1"/>
  <c r="I111" i="6"/>
  <c r="I111" i="7"/>
  <c r="P105" i="10" s="1"/>
  <c r="I111" i="8"/>
  <c r="Q105" i="10" s="1"/>
  <c r="I111" i="9"/>
  <c r="R105" i="10" s="1"/>
  <c r="I111" i="2"/>
  <c r="K111" i="2" s="1"/>
  <c r="I106" i="3"/>
  <c r="L100" i="10" s="1"/>
  <c r="I106" i="5"/>
  <c r="N100" i="10" s="1"/>
  <c r="I106" i="6"/>
  <c r="O100" i="10" s="1"/>
  <c r="I106" i="7"/>
  <c r="K106" i="7" s="1"/>
  <c r="I106" i="8"/>
  <c r="Q100" i="10" s="1"/>
  <c r="I106" i="9"/>
  <c r="R100" i="10" s="1"/>
  <c r="I106" i="2"/>
  <c r="K100" i="10" s="1"/>
  <c r="I81" i="3"/>
  <c r="L75" i="10" s="1"/>
  <c r="I81" i="4"/>
  <c r="I18" i="4" s="1"/>
  <c r="M12" i="10" s="1"/>
  <c r="I81" i="5"/>
  <c r="N75" i="10" s="1"/>
  <c r="I81" i="6"/>
  <c r="O75" i="10" s="1"/>
  <c r="I81" i="7"/>
  <c r="P75" i="10" s="1"/>
  <c r="I81" i="8"/>
  <c r="I18" i="8" s="1"/>
  <c r="Q12" i="10" s="1"/>
  <c r="I81" i="9"/>
  <c r="I18" i="9" s="1"/>
  <c r="R12" i="10" s="1"/>
  <c r="I81" i="2"/>
  <c r="I18" i="2" s="1"/>
  <c r="K12" i="10" s="1"/>
  <c r="I76" i="3"/>
  <c r="L70" i="10" s="1"/>
  <c r="I76" i="4"/>
  <c r="I17" i="4" s="1"/>
  <c r="M11" i="10" s="1"/>
  <c r="I76" i="5"/>
  <c r="N70" i="10" s="1"/>
  <c r="I76" i="6"/>
  <c r="O70" i="10" s="1"/>
  <c r="I76" i="7"/>
  <c r="P70" i="10" s="1"/>
  <c r="I76" i="8"/>
  <c r="I17" i="8" s="1"/>
  <c r="Q11" i="10" s="1"/>
  <c r="I76" i="9"/>
  <c r="R70" i="10" s="1"/>
  <c r="I76" i="2"/>
  <c r="K70" i="10" s="1"/>
  <c r="I69" i="3"/>
  <c r="L63" i="10" s="1"/>
  <c r="I69" i="4"/>
  <c r="M63" i="10" s="1"/>
  <c r="I69" i="5"/>
  <c r="I69" i="6"/>
  <c r="O63" i="10" s="1"/>
  <c r="I69" i="7"/>
  <c r="I69" i="8"/>
  <c r="Q63" i="10" s="1"/>
  <c r="I69" i="9"/>
  <c r="R63" i="10" s="1"/>
  <c r="I69" i="2"/>
  <c r="I16" i="2" s="1"/>
  <c r="K10" i="10" s="1"/>
  <c r="I12" i="3"/>
  <c r="L6" i="10" s="1"/>
  <c r="I12" i="4"/>
  <c r="M6" i="10" s="1"/>
  <c r="I62" i="3"/>
  <c r="L56" i="10" s="1"/>
  <c r="I62" i="4"/>
  <c r="M56" i="10" s="1"/>
  <c r="I62" i="5"/>
  <c r="I12" i="5" s="1"/>
  <c r="N6" i="10" s="1"/>
  <c r="I62" i="6"/>
  <c r="O56" i="10" s="1"/>
  <c r="I62" i="7"/>
  <c r="P56" i="10" s="1"/>
  <c r="I62" i="8"/>
  <c r="I12" i="8" s="1"/>
  <c r="Q6" i="10" s="1"/>
  <c r="I62" i="9"/>
  <c r="R56" i="10" s="1"/>
  <c r="I62" i="2"/>
  <c r="I12" i="2" s="1"/>
  <c r="K6" i="10" s="1"/>
  <c r="I58" i="3"/>
  <c r="I11" i="3" s="1"/>
  <c r="L5" i="10" s="1"/>
  <c r="I58" i="4"/>
  <c r="M52" i="10" s="1"/>
  <c r="I58" i="5"/>
  <c r="I11" i="5" s="1"/>
  <c r="N5" i="10" s="1"/>
  <c r="I58" i="6"/>
  <c r="O52" i="10" s="1"/>
  <c r="I58" i="7"/>
  <c r="P52" i="10" s="1"/>
  <c r="I58" i="8"/>
  <c r="Q52" i="10" s="1"/>
  <c r="I58" i="9"/>
  <c r="I11" i="9" s="1"/>
  <c r="R5" i="10" s="1"/>
  <c r="I58" i="2"/>
  <c r="I11" i="2" s="1"/>
  <c r="I45" i="3"/>
  <c r="L39" i="10" s="1"/>
  <c r="I45" i="4"/>
  <c r="I10" i="4" s="1"/>
  <c r="I45" i="6"/>
  <c r="O39" i="10" s="1"/>
  <c r="I45" i="7"/>
  <c r="P39" i="10" s="1"/>
  <c r="I45" i="8"/>
  <c r="I10" i="8" s="1"/>
  <c r="I45" i="9"/>
  <c r="R39" i="10" s="1"/>
  <c r="I45" i="2"/>
  <c r="I10" i="2" s="1"/>
  <c r="K4" i="10" s="1"/>
  <c r="N236" i="10" l="1"/>
  <c r="K236" i="10"/>
  <c r="K242" i="2"/>
  <c r="K242" i="3"/>
  <c r="K242" i="4"/>
  <c r="K242" i="6"/>
  <c r="K242" i="7"/>
  <c r="K218" i="7"/>
  <c r="Q75" i="10"/>
  <c r="Q70" i="10"/>
  <c r="Q18" i="10"/>
  <c r="Q56" i="10"/>
  <c r="K135" i="7"/>
  <c r="K135" i="6"/>
  <c r="K135" i="5"/>
  <c r="K135" i="3"/>
  <c r="K135" i="2"/>
  <c r="K105" i="10"/>
  <c r="K75" i="10"/>
  <c r="K121" i="7"/>
  <c r="K121" i="6"/>
  <c r="K121" i="5"/>
  <c r="K121" i="3"/>
  <c r="K121" i="4"/>
  <c r="I197" i="3"/>
  <c r="L191" i="10" s="1"/>
  <c r="M134" i="10"/>
  <c r="O134" i="10"/>
  <c r="L134" i="10"/>
  <c r="Q134" i="10"/>
  <c r="K106" i="6"/>
  <c r="K106" i="5"/>
  <c r="K106" i="3"/>
  <c r="K121" i="2"/>
  <c r="K106" i="2"/>
  <c r="I168" i="10"/>
  <c r="I81" i="10"/>
  <c r="K197" i="6"/>
  <c r="K197" i="2"/>
  <c r="K197" i="5"/>
  <c r="I20" i="9"/>
  <c r="I124" i="9"/>
  <c r="R118" i="10" s="1"/>
  <c r="R116" i="10"/>
  <c r="I26" i="3"/>
  <c r="L20" i="10" s="1"/>
  <c r="N129" i="10"/>
  <c r="I23" i="3"/>
  <c r="L17" i="10" s="1"/>
  <c r="I128" i="10"/>
  <c r="I27" i="8"/>
  <c r="Q21" i="10" s="1"/>
  <c r="I23" i="8"/>
  <c r="Q17" i="10" s="1"/>
  <c r="I26" i="6"/>
  <c r="O20" i="10" s="1"/>
  <c r="I27" i="6"/>
  <c r="O21" i="10" s="1"/>
  <c r="P220" i="10"/>
  <c r="I220" i="10" s="1"/>
  <c r="P216" i="10"/>
  <c r="I216" i="10" s="1"/>
  <c r="K63" i="10"/>
  <c r="K56" i="10"/>
  <c r="I56" i="10" s="1"/>
  <c r="I64" i="9"/>
  <c r="I27" i="9"/>
  <c r="R21" i="10" s="1"/>
  <c r="R236" i="10"/>
  <c r="I12" i="9"/>
  <c r="R6" i="10" s="1"/>
  <c r="I25" i="3"/>
  <c r="L19" i="10" s="1"/>
  <c r="I45" i="5"/>
  <c r="I10" i="5" s="1"/>
  <c r="N4" i="10" s="1"/>
  <c r="I12" i="7"/>
  <c r="P6" i="10" s="1"/>
  <c r="I28" i="6"/>
  <c r="O22" i="10" s="1"/>
  <c r="I22" i="10" s="1"/>
  <c r="I12" i="6"/>
  <c r="O6" i="10" s="1"/>
  <c r="I16" i="9"/>
  <c r="R10" i="10" s="1"/>
  <c r="I17" i="9"/>
  <c r="R11" i="10" s="1"/>
  <c r="I18" i="7"/>
  <c r="P12" i="10" s="1"/>
  <c r="I23" i="7"/>
  <c r="P17" i="10" s="1"/>
  <c r="I27" i="5"/>
  <c r="N21" i="10" s="1"/>
  <c r="I28" i="5"/>
  <c r="N22" i="10" s="1"/>
  <c r="I32" i="4"/>
  <c r="M26" i="10" s="1"/>
  <c r="M212" i="10"/>
  <c r="I200" i="10"/>
  <c r="I194" i="10"/>
  <c r="R115" i="10"/>
  <c r="M75" i="10"/>
  <c r="R52" i="10"/>
  <c r="I28" i="9"/>
  <c r="R22" i="10" s="1"/>
  <c r="I218" i="10"/>
  <c r="I125" i="10"/>
  <c r="I17" i="2"/>
  <c r="K11" i="10" s="1"/>
  <c r="I10" i="9"/>
  <c r="I16" i="8"/>
  <c r="Q10" i="10" s="1"/>
  <c r="I18" i="6"/>
  <c r="O12" i="10" s="1"/>
  <c r="I23" i="6"/>
  <c r="O17" i="10" s="1"/>
  <c r="I32" i="3"/>
  <c r="L26" i="10" s="1"/>
  <c r="I185" i="10"/>
  <c r="I27" i="3"/>
  <c r="L21" i="10" s="1"/>
  <c r="I23" i="4"/>
  <c r="M17" i="10" s="1"/>
  <c r="L220" i="10"/>
  <c r="R75" i="10"/>
  <c r="I215" i="10"/>
  <c r="I16" i="4"/>
  <c r="M10" i="10" s="1"/>
  <c r="I28" i="8"/>
  <c r="Q22" i="10" s="1"/>
  <c r="R212" i="10"/>
  <c r="I16" i="3"/>
  <c r="L10" i="10" s="1"/>
  <c r="I23" i="9"/>
  <c r="R17" i="10" s="1"/>
  <c r="I25" i="2"/>
  <c r="K19" i="10" s="1"/>
  <c r="I32" i="6"/>
  <c r="O26" i="10" s="1"/>
  <c r="I149" i="10"/>
  <c r="I106" i="4"/>
  <c r="I122" i="4" s="1"/>
  <c r="N52" i="10"/>
  <c r="K129" i="10"/>
  <c r="K39" i="10"/>
  <c r="K52" i="10"/>
  <c r="I64" i="2"/>
  <c r="K58" i="10" s="1"/>
  <c r="I13" i="2"/>
  <c r="K7" i="10" s="1"/>
  <c r="K5" i="10"/>
  <c r="L52" i="10"/>
  <c r="M70" i="10"/>
  <c r="I70" i="10" s="1"/>
  <c r="I11" i="4"/>
  <c r="M5" i="10" s="1"/>
  <c r="I167" i="10"/>
  <c r="I122" i="6"/>
  <c r="I124" i="6" s="1"/>
  <c r="I17" i="6"/>
  <c r="O11" i="10" s="1"/>
  <c r="I11" i="6"/>
  <c r="O5" i="10" s="1"/>
  <c r="I26" i="7"/>
  <c r="P20" i="10" s="1"/>
  <c r="I143" i="10"/>
  <c r="I122" i="7"/>
  <c r="K122" i="7" s="1"/>
  <c r="I11" i="7"/>
  <c r="P5" i="10" s="1"/>
  <c r="I11" i="8"/>
  <c r="Q5" i="10" s="1"/>
  <c r="Q212" i="10"/>
  <c r="I206" i="10"/>
  <c r="I32" i="8"/>
  <c r="Q26" i="10" s="1"/>
  <c r="I197" i="4"/>
  <c r="K197" i="4" s="1"/>
  <c r="I173" i="10"/>
  <c r="I197" i="7"/>
  <c r="Q191" i="10"/>
  <c r="I26" i="2"/>
  <c r="K20" i="10" s="1"/>
  <c r="I24" i="2"/>
  <c r="K18" i="10" s="1"/>
  <c r="I24" i="5"/>
  <c r="N18" i="10" s="1"/>
  <c r="I24" i="6"/>
  <c r="O18" i="10" s="1"/>
  <c r="I122" i="10"/>
  <c r="I99" i="10"/>
  <c r="I96" i="10"/>
  <c r="I93" i="10"/>
  <c r="I90" i="10"/>
  <c r="I87" i="10"/>
  <c r="I84" i="10"/>
  <c r="I72" i="10"/>
  <c r="I69" i="10"/>
  <c r="I66" i="10"/>
  <c r="I60" i="10"/>
  <c r="I51" i="10"/>
  <c r="I48" i="10"/>
  <c r="I42" i="10"/>
  <c r="I227" i="10"/>
  <c r="I224" i="10"/>
  <c r="I111" i="10"/>
  <c r="I102" i="10"/>
  <c r="I16" i="10"/>
  <c r="I12" i="10"/>
  <c r="I179" i="10"/>
  <c r="I155" i="10"/>
  <c r="I236" i="10"/>
  <c r="I233" i="10"/>
  <c r="I217" i="10"/>
  <c r="I214" i="10"/>
  <c r="I211" i="10"/>
  <c r="I208" i="10"/>
  <c r="I205" i="10"/>
  <c r="I199" i="10"/>
  <c r="I193" i="10"/>
  <c r="I190" i="10"/>
  <c r="I187" i="10"/>
  <c r="I184" i="10"/>
  <c r="I181" i="10"/>
  <c r="I178" i="10"/>
  <c r="I175" i="10"/>
  <c r="I172" i="10"/>
  <c r="I169" i="10"/>
  <c r="I166" i="10"/>
  <c r="I163" i="10"/>
  <c r="I160" i="10"/>
  <c r="I157" i="10"/>
  <c r="I154" i="10"/>
  <c r="I151" i="10"/>
  <c r="I148" i="10"/>
  <c r="I145" i="10"/>
  <c r="I142" i="10"/>
  <c r="I139" i="10"/>
  <c r="I136" i="10"/>
  <c r="I133" i="10"/>
  <c r="I127" i="10"/>
  <c r="I124" i="10"/>
  <c r="I98" i="10"/>
  <c r="I95" i="10"/>
  <c r="I92" i="10"/>
  <c r="I89" i="10"/>
  <c r="I86" i="10"/>
  <c r="I80" i="10"/>
  <c r="I77" i="10"/>
  <c r="I74" i="10"/>
  <c r="I68" i="10"/>
  <c r="I65" i="10"/>
  <c r="I62" i="10"/>
  <c r="I50" i="10"/>
  <c r="I47" i="10"/>
  <c r="I44" i="10"/>
  <c r="I38" i="10"/>
  <c r="I197" i="10"/>
  <c r="I131" i="10"/>
  <c r="I234" i="10"/>
  <c r="I226" i="10"/>
  <c r="I225" i="10"/>
  <c r="I209" i="10"/>
  <c r="I202" i="10"/>
  <c r="I196" i="10"/>
  <c r="I188" i="10"/>
  <c r="I182" i="10"/>
  <c r="I176" i="10"/>
  <c r="I170" i="10"/>
  <c r="I164" i="10"/>
  <c r="I158" i="10"/>
  <c r="I152" i="10"/>
  <c r="I146" i="10"/>
  <c r="I140" i="10"/>
  <c r="I126" i="10"/>
  <c r="I114" i="10"/>
  <c r="I113" i="10"/>
  <c r="I110" i="10"/>
  <c r="I108" i="10"/>
  <c r="I107" i="10"/>
  <c r="I104" i="10"/>
  <c r="I97" i="10"/>
  <c r="I91" i="10"/>
  <c r="I85" i="10"/>
  <c r="I78" i="10"/>
  <c r="I63" i="10"/>
  <c r="I54" i="10"/>
  <c r="I46" i="10"/>
  <c r="I37" i="10"/>
  <c r="I161" i="10"/>
  <c r="I137" i="10"/>
  <c r="I235" i="10"/>
  <c r="I232" i="10"/>
  <c r="I219" i="10"/>
  <c r="I210" i="10"/>
  <c r="I207" i="10"/>
  <c r="I204" i="10"/>
  <c r="I201" i="10"/>
  <c r="I198" i="10"/>
  <c r="I195" i="10"/>
  <c r="I189" i="10"/>
  <c r="I186" i="10"/>
  <c r="I183" i="10"/>
  <c r="I180" i="10"/>
  <c r="I177" i="10"/>
  <c r="I174" i="10"/>
  <c r="I171" i="10"/>
  <c r="I165" i="10"/>
  <c r="I162" i="10"/>
  <c r="I159" i="10"/>
  <c r="I156" i="10"/>
  <c r="I153" i="10"/>
  <c r="I150" i="10"/>
  <c r="I147" i="10"/>
  <c r="I144" i="10"/>
  <c r="I141" i="10"/>
  <c r="I138" i="10"/>
  <c r="I135" i="10"/>
  <c r="I123" i="10"/>
  <c r="I94" i="10"/>
  <c r="I88" i="10"/>
  <c r="I82" i="10"/>
  <c r="I79" i="10"/>
  <c r="I73" i="10"/>
  <c r="I67" i="10"/>
  <c r="I61" i="10"/>
  <c r="I55" i="10"/>
  <c r="I49" i="10"/>
  <c r="I45" i="10"/>
  <c r="I43" i="10"/>
  <c r="I228" i="10"/>
  <c r="I115" i="10"/>
  <c r="I112" i="10"/>
  <c r="I109" i="10"/>
  <c r="I33" i="10"/>
  <c r="I132" i="10"/>
  <c r="I122" i="8"/>
  <c r="P100" i="10"/>
  <c r="O105" i="10"/>
  <c r="I122" i="5"/>
  <c r="M105" i="10"/>
  <c r="I83" i="10"/>
  <c r="I103" i="10"/>
  <c r="I122" i="3"/>
  <c r="K122" i="3" s="1"/>
  <c r="I122" i="2"/>
  <c r="K122" i="2" s="1"/>
  <c r="I64" i="8"/>
  <c r="Q58" i="10" s="1"/>
  <c r="Q4" i="10"/>
  <c r="Q39" i="10"/>
  <c r="I64" i="7"/>
  <c r="P58" i="10" s="1"/>
  <c r="I10" i="7"/>
  <c r="I64" i="6"/>
  <c r="O58" i="10" s="1"/>
  <c r="I36" i="10"/>
  <c r="I10" i="6"/>
  <c r="O4" i="10" s="1"/>
  <c r="I34" i="10"/>
  <c r="M39" i="10"/>
  <c r="I35" i="10"/>
  <c r="M4" i="10"/>
  <c r="I64" i="4"/>
  <c r="I10" i="3"/>
  <c r="I64" i="3"/>
  <c r="I13" i="7" l="1"/>
  <c r="P7" i="10" s="1"/>
  <c r="I134" i="10"/>
  <c r="I20" i="6"/>
  <c r="O14" i="10" s="1"/>
  <c r="I13" i="4"/>
  <c r="M7" i="10" s="1"/>
  <c r="I26" i="10"/>
  <c r="I11" i="10"/>
  <c r="I20" i="10"/>
  <c r="I20" i="7"/>
  <c r="P14" i="10" s="1"/>
  <c r="P116" i="10"/>
  <c r="I124" i="7"/>
  <c r="K124" i="7" s="1"/>
  <c r="K197" i="3"/>
  <c r="I24" i="3"/>
  <c r="L18" i="10" s="1"/>
  <c r="I75" i="10"/>
  <c r="I19" i="10"/>
  <c r="I17" i="10"/>
  <c r="I129" i="10"/>
  <c r="I212" i="10"/>
  <c r="O116" i="10"/>
  <c r="K122" i="6"/>
  <c r="O118" i="10"/>
  <c r="K124" i="6"/>
  <c r="I124" i="5"/>
  <c r="K122" i="5"/>
  <c r="M100" i="10"/>
  <c r="I100" i="10" s="1"/>
  <c r="K106" i="4"/>
  <c r="I124" i="4"/>
  <c r="K122" i="4"/>
  <c r="I21" i="10"/>
  <c r="I6" i="10"/>
  <c r="I5" i="10"/>
  <c r="P191" i="10"/>
  <c r="K197" i="7"/>
  <c r="I126" i="9"/>
  <c r="R58" i="10"/>
  <c r="I13" i="5"/>
  <c r="N7" i="10" s="1"/>
  <c r="I64" i="5"/>
  <c r="N39" i="10"/>
  <c r="I39" i="10" s="1"/>
  <c r="N116" i="10"/>
  <c r="R4" i="10"/>
  <c r="I13" i="9"/>
  <c r="I13" i="8"/>
  <c r="Q7" i="10" s="1"/>
  <c r="I52" i="10"/>
  <c r="R14" i="10"/>
  <c r="I21" i="9"/>
  <c r="R15" i="10" s="1"/>
  <c r="M116" i="10"/>
  <c r="I20" i="4"/>
  <c r="Q203" i="10"/>
  <c r="N203" i="10"/>
  <c r="O203" i="10"/>
  <c r="P203" i="10"/>
  <c r="K203" i="10"/>
  <c r="L203" i="10"/>
  <c r="M203" i="10"/>
  <c r="I24" i="4"/>
  <c r="M18" i="10" s="1"/>
  <c r="M191" i="10"/>
  <c r="I24" i="7"/>
  <c r="P18" i="10" s="1"/>
  <c r="I21" i="7"/>
  <c r="P15" i="10" s="1"/>
  <c r="I20" i="5"/>
  <c r="N14" i="10" s="1"/>
  <c r="I105" i="10"/>
  <c r="I126" i="6"/>
  <c r="I124" i="8"/>
  <c r="Q116" i="10"/>
  <c r="I20" i="8"/>
  <c r="I21" i="6"/>
  <c r="O15" i="10" s="1"/>
  <c r="L116" i="10"/>
  <c r="I124" i="3"/>
  <c r="I20" i="3"/>
  <c r="I20" i="2"/>
  <c r="K116" i="10"/>
  <c r="I124" i="2"/>
  <c r="K124" i="2" s="1"/>
  <c r="P4" i="10"/>
  <c r="I13" i="6"/>
  <c r="O7" i="10" s="1"/>
  <c r="M58" i="10"/>
  <c r="L58" i="10"/>
  <c r="I13" i="3"/>
  <c r="L4" i="10"/>
  <c r="P118" i="10" l="1"/>
  <c r="I126" i="7"/>
  <c r="P120" i="10" s="1"/>
  <c r="I21" i="5"/>
  <c r="N15" i="10" s="1"/>
  <c r="I126" i="5"/>
  <c r="K126" i="5" s="1"/>
  <c r="I191" i="10"/>
  <c r="Q118" i="10"/>
  <c r="N118" i="10"/>
  <c r="K124" i="5"/>
  <c r="M118" i="10"/>
  <c r="K124" i="4"/>
  <c r="I126" i="4"/>
  <c r="K126" i="4" s="1"/>
  <c r="O120" i="10"/>
  <c r="K126" i="6"/>
  <c r="N58" i="10"/>
  <c r="I58" i="10" s="1"/>
  <c r="L118" i="10"/>
  <c r="K124" i="3"/>
  <c r="R7" i="10"/>
  <c r="I30" i="9"/>
  <c r="R120" i="10"/>
  <c r="I228" i="9"/>
  <c r="M14" i="10"/>
  <c r="I21" i="4"/>
  <c r="M15" i="10" s="1"/>
  <c r="I30" i="6"/>
  <c r="I34" i="6" s="1"/>
  <c r="O28" i="10" s="1"/>
  <c r="I30" i="7"/>
  <c r="P24" i="10" s="1"/>
  <c r="I18" i="10"/>
  <c r="I228" i="6"/>
  <c r="K228" i="6" s="1"/>
  <c r="I126" i="3"/>
  <c r="I116" i="10"/>
  <c r="Q14" i="10"/>
  <c r="I21" i="8"/>
  <c r="I126" i="8"/>
  <c r="L14" i="10"/>
  <c r="I21" i="3"/>
  <c r="I30" i="3" s="1"/>
  <c r="K118" i="10"/>
  <c r="I126" i="2"/>
  <c r="K126" i="2" s="1"/>
  <c r="K14" i="10"/>
  <c r="I21" i="2"/>
  <c r="I4" i="10"/>
  <c r="L7" i="10"/>
  <c r="I228" i="7" l="1"/>
  <c r="K228" i="7" s="1"/>
  <c r="K126" i="7"/>
  <c r="I228" i="5"/>
  <c r="K228" i="5" s="1"/>
  <c r="N120" i="10"/>
  <c r="I30" i="5"/>
  <c r="I34" i="5" s="1"/>
  <c r="N28" i="10" s="1"/>
  <c r="I228" i="4"/>
  <c r="K228" i="4" s="1"/>
  <c r="M120" i="10"/>
  <c r="I118" i="10"/>
  <c r="I228" i="3"/>
  <c r="K228" i="3" s="1"/>
  <c r="K126" i="3"/>
  <c r="I7" i="10"/>
  <c r="I236" i="9"/>
  <c r="R222" i="10"/>
  <c r="I34" i="9"/>
  <c r="R28" i="10" s="1"/>
  <c r="R24" i="10"/>
  <c r="I30" i="4"/>
  <c r="M24" i="10" s="1"/>
  <c r="L120" i="10"/>
  <c r="O24" i="10"/>
  <c r="I34" i="7"/>
  <c r="P28" i="10" s="1"/>
  <c r="O222" i="10"/>
  <c r="I236" i="6"/>
  <c r="K236" i="6" s="1"/>
  <c r="L15" i="10"/>
  <c r="I14" i="10"/>
  <c r="Q120" i="10"/>
  <c r="I228" i="8"/>
  <c r="Q15" i="10"/>
  <c r="I30" i="8"/>
  <c r="K15" i="10"/>
  <c r="I30" i="2"/>
  <c r="I228" i="2"/>
  <c r="K228" i="2" s="1"/>
  <c r="K120" i="10"/>
  <c r="I34" i="3"/>
  <c r="L24" i="10"/>
  <c r="I236" i="5" l="1"/>
  <c r="K236" i="5" s="1"/>
  <c r="N222" i="10"/>
  <c r="I236" i="7"/>
  <c r="K236" i="7" s="1"/>
  <c r="P222" i="10"/>
  <c r="N24" i="10"/>
  <c r="M222" i="10"/>
  <c r="I236" i="4"/>
  <c r="K236" i="4" s="1"/>
  <c r="I34" i="4"/>
  <c r="M28" i="10" s="1"/>
  <c r="L222" i="10"/>
  <c r="I236" i="3"/>
  <c r="K236" i="3" s="1"/>
  <c r="I15" i="10"/>
  <c r="I244" i="9"/>
  <c r="R238" i="10" s="1"/>
  <c r="R230" i="10"/>
  <c r="I120" i="10"/>
  <c r="O230" i="10"/>
  <c r="I244" i="6"/>
  <c r="L28" i="10"/>
  <c r="Q24" i="10"/>
  <c r="I34" i="8"/>
  <c r="I236" i="8"/>
  <c r="Q222" i="10"/>
  <c r="I236" i="2"/>
  <c r="K236" i="2" s="1"/>
  <c r="K222" i="10"/>
  <c r="I34" i="2"/>
  <c r="K28" i="10" s="1"/>
  <c r="K24" i="10"/>
  <c r="Q28" i="10" l="1"/>
  <c r="I28" i="10" s="1"/>
  <c r="N230" i="10"/>
  <c r="I244" i="5"/>
  <c r="K244" i="5" s="1"/>
  <c r="I244" i="7"/>
  <c r="K244" i="7" s="1"/>
  <c r="P230" i="10"/>
  <c r="M230" i="10"/>
  <c r="I244" i="4"/>
  <c r="M238" i="10" s="1"/>
  <c r="L230" i="10"/>
  <c r="I244" i="3"/>
  <c r="K244" i="3" s="1"/>
  <c r="O238" i="10"/>
  <c r="K244" i="6"/>
  <c r="I222" i="10"/>
  <c r="I24" i="10"/>
  <c r="I244" i="8"/>
  <c r="Q230" i="10"/>
  <c r="K230" i="10"/>
  <c r="I244" i="2"/>
  <c r="N238" i="10" l="1"/>
  <c r="P238" i="10"/>
  <c r="K244" i="4"/>
  <c r="I6" i="11"/>
  <c r="I10" i="11" s="1"/>
  <c r="L238" i="10"/>
  <c r="K238" i="10"/>
  <c r="K244" i="2"/>
  <c r="Q238" i="10"/>
  <c r="I241" i="10"/>
  <c r="I230" i="10"/>
  <c r="I23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149" authorId="0" shapeId="0" xr:uid="{34AB598B-AC1C-4E1B-A85A-4E5A79EC7B72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Svarer til 440 årselever a 100 kr.</t>
        </r>
      </text>
    </comment>
    <comment ref="I177" authorId="0" shapeId="0" xr:uid="{AAA983D3-CF5F-4299-868E-BE3A87C616B0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kr. pr. årselev (440)</t>
        </r>
      </text>
    </comment>
    <comment ref="I181" authorId="0" shapeId="0" xr:uid="{01F89DC9-8538-4601-B58F-478FC9BB7A1E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årselev (440)</t>
        </r>
      </text>
    </comment>
    <comment ref="I206" authorId="0" shapeId="0" xr:uid="{781E6DCE-B5A7-43DE-B1F0-D36C8A5EBB64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Oplyst af Nykredit pr. telefon 25/11 2022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75" authorId="0" shapeId="0" xr:uid="{66024D7F-3EC0-407C-A719-603B472E752A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Kreaturvogn leasing - efter aftale med Hanne på sted 10</t>
        </r>
      </text>
    </comment>
    <comment ref="I85" authorId="0" shapeId="0" xr:uid="{556BFAAB-4044-4F4F-BBF1-BF867258DEA4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Baseret på 3Q 2022</t>
        </r>
      </text>
    </comment>
    <comment ref="I153" authorId="0" shapeId="0" xr:uid="{5D071072-412B-4F8E-A9C2-466FCF152E12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Forbrug = tinglysningsafgift
</t>
        </r>
      </text>
    </comment>
    <comment ref="I157" authorId="0" shapeId="0" xr:uid="{CDBE9022-841E-465C-93A3-295D0EC2DBC9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Baseret på forventing på 90.000 kr. pr. kvartal pga. nedgang i personale</t>
        </r>
      </text>
    </comment>
    <comment ref="I172" authorId="0" shapeId="0" xr:uid="{4C2944A5-07AB-4615-976A-E016B001F3B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Fælles beløb til anvendelse til PR og reklame</t>
        </r>
      </text>
    </comment>
    <comment ref="I177" authorId="0" shapeId="0" xr:uid="{55396404-4947-4B11-839A-43B3EDE50FDD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FGU DK 250000, Årsmøde FGU DK, Praxis 170.000 ecoonline 68160+14125 + 10000 diverse + 2600 * 12 til Findash</t>
        </r>
      </text>
    </comment>
    <comment ref="I178" authorId="0" shapeId="0" xr:uid="{11A97699-074D-4A8F-9A21-2B7F3DDCC386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Modstrøm + diverse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155" authorId="0" shapeId="0" xr:uid="{98B58974-2CBC-47E8-B3B9-84ABAF6CC458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100 kr. pr. årselev</t>
        </r>
      </text>
    </comment>
    <comment ref="I183" authorId="0" shapeId="0" xr:uid="{D498C55D-5767-47C5-B1EA-A6CEEC0E5CE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kr. pr. årselev
</t>
        </r>
      </text>
    </comment>
    <comment ref="I187" authorId="0" shapeId="0" xr:uid="{CBBF3869-EC6A-4EF9-823E-D1C6C6356466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årselev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155" authorId="0" shapeId="0" xr:uid="{C3A6FA87-8F84-4510-BC1F-4E68D287684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100 kr. pr. årselev</t>
        </r>
      </text>
    </comment>
    <comment ref="I176" authorId="0" shapeId="0" xr:uid="{52387553-A903-4EDB-893E-21006F0783CF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4925 per uge i 46 uger + 20.000 kr. til diverse</t>
        </r>
      </text>
    </comment>
    <comment ref="I183" authorId="0" shapeId="0" xr:uid="{284781B0-A8B7-4002-B9E1-28C8C8F3F0C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kr. pr. årselev
</t>
        </r>
      </text>
    </comment>
    <comment ref="I187" authorId="0" shapeId="0" xr:uid="{E74AB158-BBD8-4C27-94A5-19686A345C26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årselev</t>
        </r>
      </text>
    </comment>
    <comment ref="I240" authorId="0" shapeId="0" xr:uid="{90850BC3-7697-44FD-A8DF-850A60BBA7CA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Afskrivninger jf. fremskrigning + 15000 til anlæg 224 og 225 som endnu ikke er klarmeldt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155" authorId="0" shapeId="0" xr:uid="{086A7474-733D-440E-A366-5C18AFE1A8D0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100 kr. pr. årselev</t>
        </r>
      </text>
    </comment>
    <comment ref="I183" authorId="0" shapeId="0" xr:uid="{865FF77D-9662-4778-A56A-8BE90853DAA7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kr. pr. årselev</t>
        </r>
      </text>
    </comment>
    <comment ref="I187" authorId="0" shapeId="0" xr:uid="{1E053359-D208-4994-90C0-598ECABD0A32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årselev</t>
        </r>
      </text>
    </comment>
    <comment ref="I240" authorId="0" shapeId="0" xr:uid="{8E6684D5-E0A7-4CB0-8939-5AE57ABD0F06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Afskrivninger jf. fremskrining + 13000 til anlæg 227 som endnu ikke er klarmeldt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51" authorId="0" shapeId="0" xr:uid="{8A3F8315-5B05-49E0-9272-BD2CB9B9B247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Betaling for elever i praktikophold fra kommunerne</t>
        </r>
      </text>
    </comment>
    <comment ref="I153" authorId="0" shapeId="0" xr:uid="{082B03C8-A987-4740-8988-27C02F040D37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Ejendomsskat</t>
        </r>
      </text>
    </comment>
    <comment ref="I155" authorId="0" shapeId="0" xr:uid="{6CD90D95-B744-4D3C-A3F9-58480D6D74FF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100 kr. pr årselev</t>
        </r>
      </text>
    </comment>
    <comment ref="I161" authorId="0" shapeId="0" xr:uid="{ABC5FCF4-3FD6-445F-A1C0-06F31E37C618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Baserer sig på forbrug oktober 2022</t>
        </r>
      </text>
    </comment>
    <comment ref="I162" authorId="0" shapeId="0" xr:uid="{6903D7DE-B675-437B-842A-8ECA6CA59445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Forbruget er estimeret. Der er omlagt til fjernvarme, men endnu kendes ikke forbruget da omlægningen er sket i efteråret 2022</t>
        </r>
      </text>
    </comment>
    <comment ref="I163" authorId="0" shapeId="0" xr:uid="{D2BFC254-65D8-4983-84D8-C35587404010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Vand sat til 5000 kr. + 4 gange vandafledning</t>
        </r>
      </text>
    </comment>
    <comment ref="I168" authorId="0" shapeId="0" xr:uid="{00EA71C4-B38F-4557-B04C-8286A940818D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 * 7000 til fiber og alarm</t>
        </r>
      </text>
    </comment>
    <comment ref="I173" authorId="0" shapeId="0" xr:uid="{941E84E3-8078-413F-B98F-85D1E3119357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Telenor * 4</t>
        </r>
      </text>
    </comment>
    <comment ref="I176" authorId="0" shapeId="0" xr:uid="{F3CB39FD-ED12-430D-AF3B-48147E498E3F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Estimeret ud fra september 2022 * 12</t>
        </r>
      </text>
    </comment>
    <comment ref="I180" authorId="0" shapeId="0" xr:uid="{CD17A628-8985-4C49-BE8D-260EFE68D0DD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2 * 4250 til alarmsystem + 5000 kr. til ekstra udkald og nyt udstyr</t>
        </r>
      </text>
    </comment>
    <comment ref="I183" authorId="0" shapeId="0" xr:uid="{BBCABB60-B49B-48F6-BE06-133BB4AF02E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 pr. årselev
</t>
        </r>
      </text>
    </comment>
    <comment ref="I187" authorId="0" shapeId="0" xr:uid="{C4171CF6-A046-4F6D-8536-E5A5DF945F8F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årselev</t>
        </r>
      </text>
    </comment>
    <comment ref="I212" authorId="0" shapeId="0" xr:uid="{6EAD8839-C9F6-4FB0-8CDC-D77459D78022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Oplyst af Nykredit 25/11:
Kvartalsvis renter 900 bidrag 4400 kundekroner -600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Majbritt Lagersted</author>
  </authors>
  <commentList>
    <comment ref="I52" authorId="0" shapeId="0" xr:uid="{CF92C55C-1160-4B02-A29C-DB6CC5C5DB7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Præstevejen forpagtning 2 x 13.500</t>
        </r>
      </text>
    </comment>
    <comment ref="I74" authorId="0" shapeId="0" xr:uid="{2B3E8431-BB4B-4597-AE2F-255C9AD56DE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Forpagtningsaftale 2 * 18830</t>
        </r>
      </text>
    </comment>
    <comment ref="I75" authorId="0" shapeId="0" xr:uid="{C4FB70A7-734A-468C-A38C-9C07EBDB3A3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Kehler 1982,20 + Fræser 1300 * 12 måneder</t>
        </r>
      </text>
    </comment>
    <comment ref="I153" authorId="0" shapeId="0" xr:uid="{E31DBF16-5C59-46B8-9554-5819993FFCD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Ejendomsskat Marslevbyvej baseret på 2. rate for 2022</t>
        </r>
      </text>
    </comment>
    <comment ref="I155" authorId="0" shapeId="0" xr:uid="{497FAA16-3CC2-4AA4-ABB0-857763DD0068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100 kr. årselev</t>
        </r>
      </text>
    </comment>
    <comment ref="I176" authorId="0" shapeId="0" xr:uid="{4CC009D9-7EE0-43F7-A340-C2A65ED4F67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12 * 13750 + 2500 ekstra hver måned til diverse indkøb og skadedyr</t>
        </r>
      </text>
    </comment>
    <comment ref="I183" authorId="0" shapeId="0" xr:uid="{9BA9C765-5393-44BC-949B-5AE6068D1B11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500 kr. pr årselev</t>
        </r>
      </text>
    </comment>
    <comment ref="I187" authorId="0" shapeId="0" xr:uid="{E4418FDB-A36C-43A8-AF33-7E06541973F8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400 kr. pr. elev</t>
        </r>
      </text>
    </comment>
    <comment ref="I212" authorId="0" shapeId="0" xr:uid="{878C9BE6-44FB-40B2-8EB0-D76D12DBF6A3}">
      <text>
        <r>
          <rPr>
            <b/>
            <sz val="9"/>
            <color indexed="81"/>
            <rFont val="Tahoma"/>
            <family val="2"/>
          </rPr>
          <t>Majbritt Lagersted:</t>
        </r>
        <r>
          <rPr>
            <sz val="9"/>
            <color indexed="81"/>
            <rFont val="Tahoma"/>
            <family val="2"/>
          </rPr>
          <t xml:space="preserve">
Oplyst fra nykredit: kvartalsvis rente 26000 bidrag 18000 kundekroner -1800</t>
        </r>
      </text>
    </comment>
  </commentList>
</comments>
</file>

<file path=xl/sharedStrings.xml><?xml version="1.0" encoding="utf-8"?>
<sst xmlns="http://schemas.openxmlformats.org/spreadsheetml/2006/main" count="4479" uniqueCount="458">
  <si>
    <t>Filtre</t>
  </si>
  <si>
    <t>Datofilter</t>
  </si>
  <si>
    <t>01-01-22..30-06-22</t>
  </si>
  <si>
    <t>Finansbudgetfilter</t>
  </si>
  <si>
    <t>2022</t>
  </si>
  <si>
    <t>Valuta</t>
  </si>
  <si>
    <t>DKK</t>
  </si>
  <si>
    <t>FORBRUG</t>
  </si>
  <si>
    <t>BUDGET</t>
  </si>
  <si>
    <t>AFVIGELSE</t>
  </si>
  <si>
    <t>FORBRUGS PROCENT</t>
  </si>
  <si>
    <t>RESTBUDGET</t>
  </si>
  <si>
    <t/>
  </si>
  <si>
    <t>BUDGETOPFØLGNING</t>
  </si>
  <si>
    <t>1</t>
  </si>
  <si>
    <t>Indtægtsbevilling</t>
  </si>
  <si>
    <t>2</t>
  </si>
  <si>
    <t>Salg af varer og tjenester</t>
  </si>
  <si>
    <t>3</t>
  </si>
  <si>
    <t>Internt statslig salg</t>
  </si>
  <si>
    <t>4</t>
  </si>
  <si>
    <t>Ordinær Driftsindtægter</t>
  </si>
  <si>
    <t>Ordinær Droftsomkostninger</t>
  </si>
  <si>
    <t>5</t>
  </si>
  <si>
    <t>Lagerregulæring</t>
  </si>
  <si>
    <t>6</t>
  </si>
  <si>
    <t>Husleje/ leje og leasing</t>
  </si>
  <si>
    <t>7</t>
  </si>
  <si>
    <t>Intert statligs køb</t>
  </si>
  <si>
    <t>11</t>
  </si>
  <si>
    <t>Personaleomkostninger</t>
  </si>
  <si>
    <t>12</t>
  </si>
  <si>
    <t>Ordinær Driftsomkostninger</t>
  </si>
  <si>
    <t>13</t>
  </si>
  <si>
    <t>Andre Indtægter</t>
  </si>
  <si>
    <t>14</t>
  </si>
  <si>
    <t>Andre Driftsomkostninger</t>
  </si>
  <si>
    <t>15</t>
  </si>
  <si>
    <t>Finansielle Indtægter</t>
  </si>
  <si>
    <t>16</t>
  </si>
  <si>
    <t>Finansielle omkostninger</t>
  </si>
  <si>
    <t>17</t>
  </si>
  <si>
    <t>Ekstra ordinære indtægter</t>
  </si>
  <si>
    <t>18</t>
  </si>
  <si>
    <t>Ekstra ordinære omkostninger</t>
  </si>
  <si>
    <t>19</t>
  </si>
  <si>
    <t>DRIFTSRESULTAT (før afskrivninger)</t>
  </si>
  <si>
    <t>20</t>
  </si>
  <si>
    <t>Afskrivninger</t>
  </si>
  <si>
    <t>RESULTATOPGØRELSE</t>
  </si>
  <si>
    <t>KONTOPLAN</t>
  </si>
  <si>
    <t>101000</t>
  </si>
  <si>
    <t>Indtægtsført bevilling</t>
  </si>
  <si>
    <t>101101</t>
  </si>
  <si>
    <t>Driftstaxameter</t>
  </si>
  <si>
    <t>101102</t>
  </si>
  <si>
    <t>Udslusningstaxameter</t>
  </si>
  <si>
    <t>101103</t>
  </si>
  <si>
    <t>Kombinationsforløbstaxameter</t>
  </si>
  <si>
    <t>101104</t>
  </si>
  <si>
    <t>Afsøgningstaxameter</t>
  </si>
  <si>
    <t>101105</t>
  </si>
  <si>
    <t>Grundtilskud</t>
  </si>
  <si>
    <t>101120</t>
  </si>
  <si>
    <t>Øvrige tilskud</t>
  </si>
  <si>
    <t>109999</t>
  </si>
  <si>
    <t>Indtægtsbevilling i alt</t>
  </si>
  <si>
    <t>110000</t>
  </si>
  <si>
    <t>Salg af varer og tjenster</t>
  </si>
  <si>
    <t>111001</t>
  </si>
  <si>
    <t>Indtægter i henhold til betalingsloven</t>
  </si>
  <si>
    <t>111002</t>
  </si>
  <si>
    <t>Skoleydelse og løn, EGU-elever</t>
  </si>
  <si>
    <t>111003</t>
  </si>
  <si>
    <t>Salg til Kommuner med moms</t>
  </si>
  <si>
    <t>111004</t>
  </si>
  <si>
    <t>Salg til kommuner uden moms</t>
  </si>
  <si>
    <t>115001</t>
  </si>
  <si>
    <t>Huslejeindtægter</t>
  </si>
  <si>
    <t>116001</t>
  </si>
  <si>
    <t>Leje af forpagtningsaftaler</t>
  </si>
  <si>
    <t>118001</t>
  </si>
  <si>
    <t>Salg af producerede ydelser m/moms</t>
  </si>
  <si>
    <t>118002</t>
  </si>
  <si>
    <t>Salg af producerede ydelser u/moms</t>
  </si>
  <si>
    <t>118003</t>
  </si>
  <si>
    <t>Salg til elever</t>
  </si>
  <si>
    <t>118020</t>
  </si>
  <si>
    <t>Salg i øvrigt</t>
  </si>
  <si>
    <t>119999</t>
  </si>
  <si>
    <t>121100</t>
  </si>
  <si>
    <t>Internt statsligt salg af varer og tjenester</t>
  </si>
  <si>
    <t>121201</t>
  </si>
  <si>
    <t>Internt statsligt salg</t>
  </si>
  <si>
    <t>129999</t>
  </si>
  <si>
    <t>Internt statsligt salg af varer og tjenester i alt</t>
  </si>
  <si>
    <t>139999</t>
  </si>
  <si>
    <t>Ord.driftsindtægter i alt</t>
  </si>
  <si>
    <t>150000</t>
  </si>
  <si>
    <t>Ord. drift.omkostninger</t>
  </si>
  <si>
    <t>150100</t>
  </si>
  <si>
    <t>Ændring i lagre</t>
  </si>
  <si>
    <t>151501</t>
  </si>
  <si>
    <t>Lagerregulering</t>
  </si>
  <si>
    <t>159999</t>
  </si>
  <si>
    <t>Ændring i lagre i alt</t>
  </si>
  <si>
    <t>160000</t>
  </si>
  <si>
    <t>Husleje mv.</t>
  </si>
  <si>
    <t>161001</t>
  </si>
  <si>
    <t>Husleje m/moms</t>
  </si>
  <si>
    <t>161002</t>
  </si>
  <si>
    <t>Husleje u/moms</t>
  </si>
  <si>
    <t>162001</t>
  </si>
  <si>
    <t>Leje af arealer - rettigheder</t>
  </si>
  <si>
    <t>163001</t>
  </si>
  <si>
    <t>Leje og leasing i øvrigt</t>
  </si>
  <si>
    <t>169999</t>
  </si>
  <si>
    <t>Husleje mv. i alt</t>
  </si>
  <si>
    <t>170000</t>
  </si>
  <si>
    <t>Internt statsligt køb varer/tj</t>
  </si>
  <si>
    <t>171201</t>
  </si>
  <si>
    <t>Internt statsligt køb</t>
  </si>
  <si>
    <t>171501</t>
  </si>
  <si>
    <t>Internt statsligt køb af koncernfælles funktioner</t>
  </si>
  <si>
    <t>179999</t>
  </si>
  <si>
    <t>Internt statsligt køb varer/tj i alt</t>
  </si>
  <si>
    <t>180000</t>
  </si>
  <si>
    <t>180100</t>
  </si>
  <si>
    <t>Direkte lønomkostninger</t>
  </si>
  <si>
    <t>180501</t>
  </si>
  <si>
    <t>Bidrag til flexjobordning og barselsfonden</t>
  </si>
  <si>
    <t>180701</t>
  </si>
  <si>
    <t>Fordelte indirekte lønomkostninger</t>
  </si>
  <si>
    <t>180801</t>
  </si>
  <si>
    <t>Intern fordelte lønomkostninger</t>
  </si>
  <si>
    <t>180901</t>
  </si>
  <si>
    <t>Modkonto til konto 1808 interne lønomk.</t>
  </si>
  <si>
    <t>181101</t>
  </si>
  <si>
    <t>Egentlig løn</t>
  </si>
  <si>
    <t>181501</t>
  </si>
  <si>
    <t>Indefrosne feriepenge (modkonto)</t>
  </si>
  <si>
    <t>181601</t>
  </si>
  <si>
    <t>Feriepenge (modkonto)</t>
  </si>
  <si>
    <t>181801</t>
  </si>
  <si>
    <t>Egentlig løn, manuel</t>
  </si>
  <si>
    <t>181804</t>
  </si>
  <si>
    <t>Skoleydelse over 18, udeboende</t>
  </si>
  <si>
    <t>181805</t>
  </si>
  <si>
    <t>Skoleydelse EGU-elever til viderefakt.</t>
  </si>
  <si>
    <t>181806</t>
  </si>
  <si>
    <t>Løn EGU-elever til viderefakt.</t>
  </si>
  <si>
    <t>182101</t>
  </si>
  <si>
    <t>Udbetaling lønrefusion for lånt personale</t>
  </si>
  <si>
    <t>183101</t>
  </si>
  <si>
    <t>Overarbejde</t>
  </si>
  <si>
    <t>184101</t>
  </si>
  <si>
    <t>Merarbejde</t>
  </si>
  <si>
    <t>185101</t>
  </si>
  <si>
    <t>Løn og overarbejde</t>
  </si>
  <si>
    <t>185601</t>
  </si>
  <si>
    <t>Overarbejde (modkonto)</t>
  </si>
  <si>
    <t>186101</t>
  </si>
  <si>
    <t>Særskilt vederlæggelse</t>
  </si>
  <si>
    <t>186801</t>
  </si>
  <si>
    <t>Særskilt vederlæggelse uden årsværk, manuel</t>
  </si>
  <si>
    <t>187101</t>
  </si>
  <si>
    <t>Frivilling fratrædelsesordning</t>
  </si>
  <si>
    <t>187201</t>
  </si>
  <si>
    <t>Kapitaliseret pensionsalderforhøjelse</t>
  </si>
  <si>
    <t>187601</t>
  </si>
  <si>
    <t>Resultatløn og frivfratrædelsesordninger mv hensæt</t>
  </si>
  <si>
    <t>187999</t>
  </si>
  <si>
    <t>Direkte lønomkost. i alt</t>
  </si>
  <si>
    <t>188000</t>
  </si>
  <si>
    <t>Pensionsbidrag</t>
  </si>
  <si>
    <t>188101</t>
  </si>
  <si>
    <t>188301</t>
  </si>
  <si>
    <t>Pensionsbidrag manuel</t>
  </si>
  <si>
    <t>188499</t>
  </si>
  <si>
    <t>Pensionsbidrag i alt</t>
  </si>
  <si>
    <t>188500</t>
  </si>
  <si>
    <t>Lønrefusioner</t>
  </si>
  <si>
    <t>188701</t>
  </si>
  <si>
    <t>Refusion Fleksjob</t>
  </si>
  <si>
    <t>188710</t>
  </si>
  <si>
    <t>Refusion Sygedagpenge</t>
  </si>
  <si>
    <t>188801</t>
  </si>
  <si>
    <t>Refusion udlånt personale</t>
  </si>
  <si>
    <t>188901</t>
  </si>
  <si>
    <t>Tilskud fra Barselsfonden</t>
  </si>
  <si>
    <t>189001</t>
  </si>
  <si>
    <t>Refusion fra Efteruddannelsesfonden</t>
  </si>
  <si>
    <t>189101</t>
  </si>
  <si>
    <t>Øvrig kompensation fraværende personale</t>
  </si>
  <si>
    <t>189201</t>
  </si>
  <si>
    <t>Øvrig tilskud/refusion for beskæftigelse</t>
  </si>
  <si>
    <t>189599</t>
  </si>
  <si>
    <t>Lønrefusioner i alt</t>
  </si>
  <si>
    <t>189899</t>
  </si>
  <si>
    <t>Personaleomkostninger i alt</t>
  </si>
  <si>
    <t>199999</t>
  </si>
  <si>
    <t>Ord. driftsomkostninger i alt</t>
  </si>
  <si>
    <t>209999</t>
  </si>
  <si>
    <t>Resultat af ordinær drift</t>
  </si>
  <si>
    <t>210000</t>
  </si>
  <si>
    <t>Andre driftindtægter</t>
  </si>
  <si>
    <t>211001</t>
  </si>
  <si>
    <t>Indtægter fra SPS</t>
  </si>
  <si>
    <t>211020</t>
  </si>
  <si>
    <t>Øvrige indtægter</t>
  </si>
  <si>
    <t>211025</t>
  </si>
  <si>
    <t>IDV Indtægter</t>
  </si>
  <si>
    <t>211030</t>
  </si>
  <si>
    <t>Lærling indtægter</t>
  </si>
  <si>
    <t>211040</t>
  </si>
  <si>
    <t>Momskompensation</t>
  </si>
  <si>
    <t>219001</t>
  </si>
  <si>
    <t>Gevinst ved afhændelse af anlæg</t>
  </si>
  <si>
    <t>219999</t>
  </si>
  <si>
    <t>Andre driftindtægter i alt</t>
  </si>
  <si>
    <t>220000</t>
  </si>
  <si>
    <t>Andre ordinære driftsomkostninger</t>
  </si>
  <si>
    <t>220501</t>
  </si>
  <si>
    <t>Hensættelser, andet</t>
  </si>
  <si>
    <t>220701</t>
  </si>
  <si>
    <t>Fordelte indirekte omkostninger</t>
  </si>
  <si>
    <t>220801</t>
  </si>
  <si>
    <t>Intern fordeling af øvrige omkostninger</t>
  </si>
  <si>
    <t>220901</t>
  </si>
  <si>
    <t>Modkonto til 2208 interne omkostninger</t>
  </si>
  <si>
    <t>221001</t>
  </si>
  <si>
    <t>Rejse og befordring m/moms, ansatte</t>
  </si>
  <si>
    <t>221002</t>
  </si>
  <si>
    <t>Rejse og befordring u/moms, ansatte</t>
  </si>
  <si>
    <t>221003</t>
  </si>
  <si>
    <t>Befordring, censor</t>
  </si>
  <si>
    <t>222001</t>
  </si>
  <si>
    <t>Ekstern repræsentation</t>
  </si>
  <si>
    <t>222002</t>
  </si>
  <si>
    <t>Intern repræsentation</t>
  </si>
  <si>
    <t>223001</t>
  </si>
  <si>
    <t>Rep. og vedligeholdelse, bygninger</t>
  </si>
  <si>
    <t>223002</t>
  </si>
  <si>
    <t>Rep. og vedligeholdelse, køretøjer, gulpladebiler</t>
  </si>
  <si>
    <t>223004</t>
  </si>
  <si>
    <t>Rep. og vedligeholdelse, køretøjer, hvidpladeblier</t>
  </si>
  <si>
    <t>223005</t>
  </si>
  <si>
    <t>Rep. og vedligeholdelse - Bygninger (Eget)</t>
  </si>
  <si>
    <t>223020</t>
  </si>
  <si>
    <t>Rep. og vedligeholdelse, øvrige</t>
  </si>
  <si>
    <t>223030</t>
  </si>
  <si>
    <t>Forsikringersager</t>
  </si>
  <si>
    <t>223201</t>
  </si>
  <si>
    <t>Arbejdsgivers am-bidrag, ejendomsskat og afgifter</t>
  </si>
  <si>
    <t>223202</t>
  </si>
  <si>
    <t>Registreringsafgift</t>
  </si>
  <si>
    <t>223601</t>
  </si>
  <si>
    <t>Rejse og befordring, elever</t>
  </si>
  <si>
    <t>223801</t>
  </si>
  <si>
    <t>Arbejdsgivernes uddannelsesbidrag (AUB)</t>
  </si>
  <si>
    <t>223810</t>
  </si>
  <si>
    <t>Samlet Betalinger (AER)</t>
  </si>
  <si>
    <t>224001</t>
  </si>
  <si>
    <t>Øvrige driftsaktiviteter</t>
  </si>
  <si>
    <t>224005</t>
  </si>
  <si>
    <t>Personalevælfærd</t>
  </si>
  <si>
    <t>224010</t>
  </si>
  <si>
    <t>Personalesager - HR-omkostninger</t>
  </si>
  <si>
    <t>225501</t>
  </si>
  <si>
    <t>Køb af energi - el</t>
  </si>
  <si>
    <t>225502</t>
  </si>
  <si>
    <t>Køb af energi - varme</t>
  </si>
  <si>
    <t>225503</t>
  </si>
  <si>
    <t>Køb af energi - vand</t>
  </si>
  <si>
    <t>225504</t>
  </si>
  <si>
    <t>Brændstof, hvidpladebiler</t>
  </si>
  <si>
    <t>225505</t>
  </si>
  <si>
    <t>Brændstof, gulpladebiler</t>
  </si>
  <si>
    <t>225507</t>
  </si>
  <si>
    <t>Refusion energiafgifter</t>
  </si>
  <si>
    <t>226001</t>
  </si>
  <si>
    <t>Køb af IT-varer til forbrug</t>
  </si>
  <si>
    <t>226501</t>
  </si>
  <si>
    <t>Køb af IT-tjenesteydelser</t>
  </si>
  <si>
    <t>227001</t>
  </si>
  <si>
    <t>Revision</t>
  </si>
  <si>
    <t>227002</t>
  </si>
  <si>
    <t>Advokat</t>
  </si>
  <si>
    <t>227003</t>
  </si>
  <si>
    <t>Konsulentbistand</t>
  </si>
  <si>
    <t>227004</t>
  </si>
  <si>
    <t>Annoncering og reklame</t>
  </si>
  <si>
    <t>227005</t>
  </si>
  <si>
    <t>Telefonabonnementer</t>
  </si>
  <si>
    <t>227006</t>
  </si>
  <si>
    <t>Kurser</t>
  </si>
  <si>
    <t>227007</t>
  </si>
  <si>
    <t>Fragt og gebyrer</t>
  </si>
  <si>
    <t>227008</t>
  </si>
  <si>
    <t>Rengøring og renovation</t>
  </si>
  <si>
    <t>227010</t>
  </si>
  <si>
    <t>Abonnementer og kontingenter m/moms</t>
  </si>
  <si>
    <t>227011</t>
  </si>
  <si>
    <t>Abonnementer og kontingenter u/moms</t>
  </si>
  <si>
    <t>227012</t>
  </si>
  <si>
    <t>Censorer</t>
  </si>
  <si>
    <t>227015</t>
  </si>
  <si>
    <t>Alarm / Nøglesystemer</t>
  </si>
  <si>
    <t>227020</t>
  </si>
  <si>
    <t>Køb af tj.ydelser i øvrigt</t>
  </si>
  <si>
    <t>227050</t>
  </si>
  <si>
    <t>Porto</t>
  </si>
  <si>
    <t>228001</t>
  </si>
  <si>
    <t>Undervisningsmateriale</t>
  </si>
  <si>
    <t>228002</t>
  </si>
  <si>
    <t>Arbejdstøj</t>
  </si>
  <si>
    <t>228003</t>
  </si>
  <si>
    <t>Kontorartikler</t>
  </si>
  <si>
    <t>228004</t>
  </si>
  <si>
    <t>Småanskaffelser</t>
  </si>
  <si>
    <t>228005</t>
  </si>
  <si>
    <t>Elevaktiviteter</t>
  </si>
  <si>
    <t>228006</t>
  </si>
  <si>
    <t>Varekøb til værkstedsdrift</t>
  </si>
  <si>
    <t>228007</t>
  </si>
  <si>
    <t>Køb EGU-elever til viderefakt.</t>
  </si>
  <si>
    <t>228008</t>
  </si>
  <si>
    <t>Varekøb til direkte videresalg uden forarbejdning</t>
  </si>
  <si>
    <t>228011</t>
  </si>
  <si>
    <t>Betalende Spiseordning Varekøb</t>
  </si>
  <si>
    <t>228020</t>
  </si>
  <si>
    <t>Øvrige omkostninger til værkstedsdrift</t>
  </si>
  <si>
    <t>229001</t>
  </si>
  <si>
    <t>Tab ved afhændelse af anlæg</t>
  </si>
  <si>
    <t>229101</t>
  </si>
  <si>
    <t>Kassedifferencer mv.</t>
  </si>
  <si>
    <t>229401</t>
  </si>
  <si>
    <t>Forventet tab på debitorer</t>
  </si>
  <si>
    <t>229501</t>
  </si>
  <si>
    <t>Tab på debitorer mv.</t>
  </si>
  <si>
    <t>229999</t>
  </si>
  <si>
    <t>Andre ord. drifts.omk I alt</t>
  </si>
  <si>
    <t>250000</t>
  </si>
  <si>
    <t>Finansielle indtægter</t>
  </si>
  <si>
    <t>252001</t>
  </si>
  <si>
    <t>Renteindtægter SKB</t>
  </si>
  <si>
    <t>254001</t>
  </si>
  <si>
    <t>Renteindtægter øvrige pengeinst.</t>
  </si>
  <si>
    <t>256001</t>
  </si>
  <si>
    <t>Værdipapirer</t>
  </si>
  <si>
    <t>257001</t>
  </si>
  <si>
    <t>Udbytter</t>
  </si>
  <si>
    <t>258001</t>
  </si>
  <si>
    <t>Morarenteindtægter</t>
  </si>
  <si>
    <t>259001</t>
  </si>
  <si>
    <t>Øvrige renteindtægter</t>
  </si>
  <si>
    <t>259201</t>
  </si>
  <si>
    <t>Værdiforskelle, solgte værdipapirer</t>
  </si>
  <si>
    <t>259401</t>
  </si>
  <si>
    <t>Værdiforskydning, optagne lån/gæld</t>
  </si>
  <si>
    <t>259999</t>
  </si>
  <si>
    <t>Finansielle indtægter i alt</t>
  </si>
  <si>
    <t>260000</t>
  </si>
  <si>
    <t>264001</t>
  </si>
  <si>
    <t>Renteudgifter SKB</t>
  </si>
  <si>
    <t>265001</t>
  </si>
  <si>
    <t>Prioritetsrenter og bidrag</t>
  </si>
  <si>
    <t>268001</t>
  </si>
  <si>
    <t>Morarenteudgifter til andre offentlige myndigheder</t>
  </si>
  <si>
    <t>268101</t>
  </si>
  <si>
    <t>Morarenter og gebyrer til leverandører</t>
  </si>
  <si>
    <t>269001</t>
  </si>
  <si>
    <t>Øvrige renteudgifter</t>
  </si>
  <si>
    <t>269201</t>
  </si>
  <si>
    <t>Tab/gevinst ved køb af værdipapirer</t>
  </si>
  <si>
    <t>269202</t>
  </si>
  <si>
    <t>Urealiseret kurstab</t>
  </si>
  <si>
    <t>269999</t>
  </si>
  <si>
    <t>Finansielle omkostninger i alt</t>
  </si>
  <si>
    <t>280000</t>
  </si>
  <si>
    <t>Ekstraordinære indtægter</t>
  </si>
  <si>
    <t>280501</t>
  </si>
  <si>
    <t>289899</t>
  </si>
  <si>
    <t>Ekstraordinære indtægter i alt</t>
  </si>
  <si>
    <t>290000</t>
  </si>
  <si>
    <t>Ekstraordinære omkostninger</t>
  </si>
  <si>
    <t>290501</t>
  </si>
  <si>
    <t>299799</t>
  </si>
  <si>
    <t>Ekstraordinære omkostninger i alt</t>
  </si>
  <si>
    <t>299999</t>
  </si>
  <si>
    <t>Driftsresultat (før overførelser)</t>
  </si>
  <si>
    <t>300000</t>
  </si>
  <si>
    <t>Overførsler mv.</t>
  </si>
  <si>
    <t>306001</t>
  </si>
  <si>
    <t>Told- og forbrugsafgifter</t>
  </si>
  <si>
    <t>308001</t>
  </si>
  <si>
    <t>Andre skatter og afgifter</t>
  </si>
  <si>
    <t>442401</t>
  </si>
  <si>
    <t>Fratrædelsesordninger, efterløn mv.</t>
  </si>
  <si>
    <t>469999</t>
  </si>
  <si>
    <t>Overførsler mv. i alt</t>
  </si>
  <si>
    <t>200000</t>
  </si>
  <si>
    <t>Af- og nedskrivning</t>
  </si>
  <si>
    <t>201001</t>
  </si>
  <si>
    <t>Neutralisering af donationsafskrivning</t>
  </si>
  <si>
    <t>203001</t>
  </si>
  <si>
    <t>Afskrivning alle aktiver</t>
  </si>
  <si>
    <t>205001</t>
  </si>
  <si>
    <t>Nedskrivning alle aktiver</t>
  </si>
  <si>
    <t>209899</t>
  </si>
  <si>
    <t>Af- og nedskrivning i alt</t>
  </si>
  <si>
    <t>499999</t>
  </si>
  <si>
    <t>Sted Filter</t>
  </si>
  <si>
    <t>10</t>
  </si>
  <si>
    <t>21</t>
  </si>
  <si>
    <t>30</t>
  </si>
  <si>
    <t>40</t>
  </si>
  <si>
    <t>50</t>
  </si>
  <si>
    <t>60</t>
  </si>
  <si>
    <t>90</t>
  </si>
  <si>
    <t>FÆLLES</t>
  </si>
  <si>
    <t>ODENSE</t>
  </si>
  <si>
    <t>LAKS</t>
  </si>
  <si>
    <t>ASSENS</t>
  </si>
  <si>
    <t>NYBORG</t>
  </si>
  <si>
    <t>NORDFYN</t>
  </si>
  <si>
    <t>KERTEMINDE</t>
  </si>
  <si>
    <t>SÆRTILSKUD</t>
  </si>
  <si>
    <t>Kontrol</t>
  </si>
  <si>
    <t>Budget 2023</t>
  </si>
  <si>
    <t>Forecast 2023 fordelt på skoler</t>
  </si>
  <si>
    <t>Primo</t>
  </si>
  <si>
    <t>Momsforskydning UVM</t>
  </si>
  <si>
    <t>Forventede investeringer</t>
  </si>
  <si>
    <t>Lån</t>
  </si>
  <si>
    <t>Saldo</t>
  </si>
  <si>
    <t>Likviditets udvikling 2023</t>
  </si>
  <si>
    <t>Ultimo december 2022</t>
  </si>
  <si>
    <t>Ultimo 2023</t>
  </si>
  <si>
    <t>Estimat 1/1 - 31/12 2023</t>
  </si>
  <si>
    <t>Ved 460 årselever</t>
  </si>
  <si>
    <t>Ved 420 årselever</t>
  </si>
  <si>
    <t>Ved 440 årselever</t>
  </si>
  <si>
    <t>Simulering af budget 2023 ved forskellige årselevtal (alt andet lige)</t>
  </si>
  <si>
    <t>3. udkast</t>
  </si>
  <si>
    <t>Noter til budgettet</t>
  </si>
  <si>
    <t>Note</t>
  </si>
  <si>
    <t>Note nr.</t>
  </si>
  <si>
    <t>Der er ikke beregnet afskrivninger på nye investeringer i 2023 da ibrugtagningstidspunktet er ukendt. Såfremt ibrugtagningstidspunktet var 1/1 2023 (urealistisk) ville den årlige afskrivning på investeringsmassen, under forudsætning om, at de er tale om investeringer på bygninger være ca. 95.620 kr. (afskrivning over 50 år).</t>
  </si>
  <si>
    <t>Der budgetteres med 100 kr. til befordring pr. årselev</t>
  </si>
  <si>
    <t>Der budgetteres med 500 kr. til undervisningsmateriale pr. årselev</t>
  </si>
  <si>
    <t>Der budgetteres med 400 kr. til elevaktiviteter pr. årselev</t>
  </si>
  <si>
    <t>Der er indlagt 1.173.000 (løn og pension) til vikarer. Beløbet er fordelt efter antal årselever</t>
  </si>
  <si>
    <t>Grundtilskud jf. takstkatalog 1.884.540 er tillagt 404.760 som en forventelig forhøjelse af grundtilskuddet jf. brev fra STUK. Det forventes udmøntet i februar 2023</t>
  </si>
  <si>
    <t>Der er budgetteret med 50 kr. pr. elev til brug for elevråd pr. skole</t>
  </si>
  <si>
    <t>Der er budgetteret med 20.000 kr. til brug for tilskud til sommerfest og julefrokost.</t>
  </si>
  <si>
    <t>Budeget 2023</t>
  </si>
  <si>
    <t>Prioritetsrenter er oplyst pr. telefon fra Nykredit den 25/11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</si>
</sst>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r_._-;\-* #,##0.00\ _k_r_._-;_-* &quot;-&quot;??\ _k_r_._-;_-@_-"/>
    <numFmt numFmtId="165" formatCode="#,##0.00_ ;\-#,##0.00\ "/>
    <numFmt numFmtId="166" formatCode="_-* #,##0_-;\-* #,##0_-;_-* &quot;-&quot;??_-;_-@_-"/>
  </numFmts>
  <fonts count="6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2" xfId="0" applyNumberFormat="1" applyFont="1" applyBorder="1"/>
    <xf numFmtId="0" fontId="1" fillId="0" borderId="2" xfId="0" applyFont="1" applyBorder="1"/>
    <xf numFmtId="43" fontId="0" fillId="0" borderId="0" xfId="0" applyNumberFormat="1"/>
    <xf numFmtId="164" fontId="0" fillId="0" borderId="0" xfId="0" applyNumberFormat="1"/>
    <xf numFmtId="43" fontId="0" fillId="0" borderId="0" xfId="1" applyFont="1" applyFill="1" applyAlignment="1">
      <alignment horizontal="right"/>
    </xf>
    <xf numFmtId="43" fontId="0" fillId="0" borderId="0" xfId="1" applyFont="1" applyFill="1"/>
    <xf numFmtId="49" fontId="0" fillId="0" borderId="0" xfId="0" applyNumberFormat="1" applyAlignment="1">
      <alignment horizontal="right"/>
    </xf>
    <xf numFmtId="43" fontId="1" fillId="0" borderId="0" xfId="1" applyFont="1" applyFill="1"/>
    <xf numFmtId="43" fontId="1" fillId="0" borderId="2" xfId="1" applyFont="1" applyFill="1" applyBorder="1"/>
    <xf numFmtId="165" fontId="0" fillId="0" borderId="0" xfId="1" applyNumberFormat="1" applyFont="1"/>
    <xf numFmtId="165" fontId="1" fillId="0" borderId="0" xfId="1" applyNumberFormat="1" applyFont="1"/>
    <xf numFmtId="165" fontId="1" fillId="0" borderId="2" xfId="1" applyNumberFormat="1" applyFont="1" applyBorder="1"/>
    <xf numFmtId="165" fontId="1" fillId="0" borderId="0" xfId="1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3" fontId="1" fillId="0" borderId="0" xfId="1" applyFont="1"/>
    <xf numFmtId="43" fontId="1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165" fontId="0" fillId="0" borderId="0" xfId="1" applyNumberFormat="1" applyFont="1" applyAlignment="1">
      <alignment horizontal="right"/>
    </xf>
    <xf numFmtId="4" fontId="0" fillId="0" borderId="0" xfId="1" applyNumberFormat="1" applyFont="1" applyFill="1"/>
    <xf numFmtId="4" fontId="0" fillId="0" borderId="0" xfId="0" applyNumberFormat="1"/>
    <xf numFmtId="4" fontId="0" fillId="2" borderId="0" xfId="1" applyNumberFormat="1" applyFont="1" applyFill="1" applyAlignment="1">
      <alignment horizontal="right"/>
    </xf>
    <xf numFmtId="4" fontId="0" fillId="0" borderId="0" xfId="1" applyNumberFormat="1" applyFont="1" applyFill="1" applyAlignment="1">
      <alignment horizontal="right"/>
    </xf>
    <xf numFmtId="4" fontId="1" fillId="2" borderId="0" xfId="1" applyNumberFormat="1" applyFont="1" applyFill="1"/>
    <xf numFmtId="4" fontId="1" fillId="0" borderId="0" xfId="1" applyNumberFormat="1" applyFont="1" applyFill="1"/>
    <xf numFmtId="4" fontId="0" fillId="2" borderId="0" xfId="1" applyNumberFormat="1" applyFont="1" applyFill="1"/>
    <xf numFmtId="4" fontId="1" fillId="2" borderId="2" xfId="1" applyNumberFormat="1" applyFont="1" applyFill="1" applyBorder="1"/>
    <xf numFmtId="4" fontId="1" fillId="0" borderId="2" xfId="1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/>
    </xf>
    <xf numFmtId="166" fontId="0" fillId="0" borderId="0" xfId="1" applyNumberFormat="1" applyFont="1" applyFill="1" applyAlignment="1"/>
    <xf numFmtId="0" fontId="0" fillId="0" borderId="0" xfId="0" applyAlignment="1">
      <alignment horizontal="center" vertical="top"/>
    </xf>
    <xf numFmtId="165" fontId="0" fillId="0" borderId="0" xfId="1" applyNumberFormat="1" applyFont="1" applyFill="1"/>
    <xf numFmtId="165" fontId="1" fillId="0" borderId="0" xfId="1" applyNumberFormat="1" applyFont="1" applyFill="1"/>
    <xf numFmtId="165" fontId="1" fillId="0" borderId="2" xfId="1" applyNumberFormat="1" applyFont="1" applyFill="1" applyBorder="1"/>
    <xf numFmtId="165" fontId="0" fillId="0" borderId="0" xfId="0" applyNumberFormat="1"/>
    <xf numFmtId="0" fontId="5" fillId="0" borderId="0" xfId="0" applyFont="1" applyAlignment="1">
      <alignment horizontal="center"/>
    </xf>
  </cellXfs>
  <cellStyles count="3">
    <cellStyle name="Komma" xfId="1" builtinId="3"/>
    <cellStyle name="Komma 2" xfId="2" xr:uid="{8F0C4E4D-E660-43C2-886F-5CFC1ADFD3C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Likviditets udvikling 2023</a:t>
            </a:r>
          </a:p>
        </c:rich>
      </c:tx>
      <c:layout>
        <c:manualLayout>
          <c:xMode val="edge"/>
          <c:yMode val="edge"/>
          <c:x val="0.386574217426681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096178870282956"/>
          <c:y val="0.16708333333333336"/>
          <c:w val="0.77137707786526688"/>
          <c:h val="0.72088764946048411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Likviditet!$H$4:$I$4</c:f>
              <c:strCache>
                <c:ptCount val="2"/>
                <c:pt idx="0">
                  <c:v> Ultimo december 2022 </c:v>
                </c:pt>
                <c:pt idx="1">
                  <c:v> Ultimo 2023 </c:v>
                </c:pt>
              </c:strCache>
            </c:strRef>
          </c:cat>
          <c:val>
            <c:numRef>
              <c:f>Likviditet!$H$7:$I$7</c:f>
              <c:numCache>
                <c:formatCode>_(* #,##0.00_);_(* \(#,##0.00\);_(* "-"??_);_(@_)</c:formatCode>
                <c:ptCount val="2"/>
                <c:pt idx="1">
                  <c:v>-500000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0-4E39-B2A4-A925D983D63C}"/>
            </c:ext>
          </c:extLst>
        </c:ser>
        <c:ser>
          <c:idx val="3"/>
          <c:order val="1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cat>
            <c:strRef>
              <c:f>Likviditet!$H$4:$I$4</c:f>
              <c:strCache>
                <c:ptCount val="2"/>
                <c:pt idx="0">
                  <c:v> Ultimo december 2022 </c:v>
                </c:pt>
                <c:pt idx="1">
                  <c:v> Ultimo 2023 </c:v>
                </c:pt>
              </c:strCache>
            </c:strRef>
          </c:cat>
          <c:val>
            <c:numRef>
              <c:f>Likviditet!$H$9:$I$9</c:f>
              <c:numCache>
                <c:formatCode>_(* #,##0.00_);_(* \(#,##0.00\);_(* "-"??_);_(@_)</c:formatCode>
                <c:ptCount val="2"/>
                <c:pt idx="1">
                  <c:v>-260400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30-4E39-B2A4-A925D983D63C}"/>
            </c:ext>
          </c:extLst>
        </c:ser>
        <c:ser>
          <c:idx val="4"/>
          <c:order val="2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Likviditet!$H$4:$I$4</c:f>
              <c:strCache>
                <c:ptCount val="2"/>
                <c:pt idx="0">
                  <c:v> Ultimo december 2022 </c:v>
                </c:pt>
                <c:pt idx="1">
                  <c:v> Ultimo 2023 </c:v>
                </c:pt>
              </c:strCache>
            </c:strRef>
          </c:cat>
          <c:val>
            <c:numRef>
              <c:f>Likviditet!$H$10:$I$10</c:f>
              <c:numCache>
                <c:formatCode>_(* #,##0.00_);_(* \(#,##0.00\);_(* "-"??_);_(@_)</c:formatCode>
                <c:ptCount val="2"/>
                <c:pt idx="0">
                  <c:v>35024936.525433332</c:v>
                </c:pt>
                <c:pt idx="1">
                  <c:v>30094627.155433327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30-4E39-B2A4-A925D983D63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465568"/>
        <c:axId val="1348374304"/>
        <c:extLst/>
      </c:lineChart>
      <c:catAx>
        <c:axId val="10864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8374304"/>
        <c:crosses val="autoZero"/>
        <c:auto val="1"/>
        <c:lblAlgn val="ctr"/>
        <c:lblOffset val="100"/>
        <c:noMultiLvlLbl val="0"/>
      </c:catAx>
      <c:valAx>
        <c:axId val="13483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8646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14</xdr:row>
      <xdr:rowOff>33337</xdr:rowOff>
    </xdr:from>
    <xdr:to>
      <xdr:col>11</xdr:col>
      <xdr:colOff>923925</xdr:colOff>
      <xdr:row>28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F76DD4C-06B9-4DCD-8465-DCD8F0651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42F7-D3A8-48DD-BD89-2D01BE5C049F}">
  <dimension ref="C1:N12"/>
  <sheetViews>
    <sheetView workbookViewId="0">
      <selection activeCell="K12" sqref="K12"/>
    </sheetView>
  </sheetViews>
  <sheetFormatPr defaultColWidth="9.140625" defaultRowHeight="15" x14ac:dyDescent="0.25"/>
  <cols>
    <col min="2" max="2" width="19.5703125" bestFit="1" customWidth="1"/>
    <col min="3" max="3" width="19" bestFit="1" customWidth="1"/>
    <col min="4" max="4" width="14.28515625" bestFit="1" customWidth="1"/>
    <col min="5" max="5" width="10.5703125" customWidth="1"/>
    <col min="6" max="6" width="7.5703125" hidden="1" customWidth="1"/>
    <col min="7" max="7" width="40.85546875" customWidth="1"/>
    <col min="8" max="8" width="22.85546875" customWidth="1"/>
    <col min="9" max="9" width="18.7109375" bestFit="1" customWidth="1"/>
    <col min="10" max="14" width="14.28515625" bestFit="1" customWidth="1"/>
  </cols>
  <sheetData>
    <row r="1" spans="3:14" ht="36" x14ac:dyDescent="0.55000000000000004">
      <c r="C1" s="42" t="s">
        <v>436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4" spans="3:14" x14ac:dyDescent="0.25">
      <c r="H4" s="19" t="s">
        <v>437</v>
      </c>
      <c r="I4" s="20" t="s">
        <v>438</v>
      </c>
    </row>
    <row r="5" spans="3:14" x14ac:dyDescent="0.25">
      <c r="G5" s="4" t="s">
        <v>431</v>
      </c>
      <c r="H5" s="21"/>
      <c r="I5" s="22">
        <f>H10</f>
        <v>35024936.525433332</v>
      </c>
    </row>
    <row r="6" spans="3:14" ht="18.75" customHeight="1" x14ac:dyDescent="0.25">
      <c r="G6" s="4" t="s">
        <v>439</v>
      </c>
      <c r="H6" s="21"/>
      <c r="I6" s="21">
        <f>'Budget 2023'!I24</f>
        <v>611090.62999999709</v>
      </c>
    </row>
    <row r="7" spans="3:14" x14ac:dyDescent="0.25">
      <c r="G7" s="4" t="s">
        <v>432</v>
      </c>
      <c r="H7" s="21"/>
      <c r="I7" s="21">
        <v>-500000</v>
      </c>
    </row>
    <row r="8" spans="3:14" x14ac:dyDescent="0.25">
      <c r="G8" s="4" t="s">
        <v>433</v>
      </c>
      <c r="H8" s="21"/>
      <c r="I8" s="10">
        <f>-5781000+1000000</f>
        <v>-4781000</v>
      </c>
    </row>
    <row r="9" spans="3:14" x14ac:dyDescent="0.25">
      <c r="G9" s="4" t="s">
        <v>434</v>
      </c>
      <c r="H9" s="21"/>
      <c r="I9" s="21">
        <v>-260400</v>
      </c>
    </row>
    <row r="10" spans="3:14" x14ac:dyDescent="0.25">
      <c r="G10" s="4" t="s">
        <v>435</v>
      </c>
      <c r="H10" s="21">
        <v>35024936.525433332</v>
      </c>
      <c r="I10" s="21">
        <f>SUM(I5:I9)</f>
        <v>30094627.155433327</v>
      </c>
    </row>
    <row r="12" spans="3:14" x14ac:dyDescent="0.25">
      <c r="I12" s="7"/>
    </row>
  </sheetData>
  <sheetProtection algorithmName="SHA-512" hashValue="bAZO/et3VMoqh1/dS8U3h7JdvLYPsNwJhOsnRC85nxDcy00uKdvMYKrRdklrY/0B6cmQoY4qysGxfZYsM7A7kw==" saltValue="yVgwvHQecRecvSMmJfdsVQ==" spinCount="100000" sheet="1" objects="1" scenarios="1"/>
  <mergeCells count="1">
    <mergeCell ref="C1:N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4"/>
  <sheetViews>
    <sheetView topLeftCell="A163" workbookViewId="0">
      <selection activeCell="I189" sqref="I189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3.28515625" style="14" hidden="1" customWidth="1"/>
    <col min="4" max="4" width="14.28515625" style="14" hidden="1" customWidth="1"/>
    <col min="5" max="5" width="10.28515625" hidden="1" customWidth="1"/>
    <col min="6" max="6" width="19.42578125" hidden="1" customWidth="1"/>
    <col min="7" max="7" width="13.28515625" style="14" hidden="1" customWidth="1"/>
    <col min="8" max="8" width="2.7109375" hidden="1" customWidth="1"/>
    <col min="9" max="9" width="14.2851562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417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5251369.68</v>
      </c>
      <c r="D10" s="14">
        <v>10469955</v>
      </c>
      <c r="E10">
        <v>-49.84</v>
      </c>
      <c r="F10">
        <v>50.16</v>
      </c>
      <c r="G10" s="14">
        <v>-5218585.32</v>
      </c>
      <c r="I10" s="14">
        <f>I45</f>
        <v>11054850</v>
      </c>
    </row>
    <row r="11" spans="1:9" x14ac:dyDescent="0.25">
      <c r="A11" s="2" t="s">
        <v>16</v>
      </c>
      <c r="B11" s="2" t="s">
        <v>17</v>
      </c>
      <c r="C11" s="14">
        <v>113152.51</v>
      </c>
      <c r="D11" s="14">
        <v>158917.5</v>
      </c>
      <c r="E11">
        <v>-28.8</v>
      </c>
      <c r="F11">
        <v>71.2</v>
      </c>
      <c r="G11" s="14">
        <v>-45764.99</v>
      </c>
      <c r="I11" s="14">
        <f>I58</f>
        <v>140000</v>
      </c>
    </row>
    <row r="12" spans="1:9" x14ac:dyDescent="0.25">
      <c r="A12" s="2" t="s">
        <v>18</v>
      </c>
      <c r="B12" s="2" t="s">
        <v>19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5364522.1900000004</v>
      </c>
      <c r="D13" s="15">
        <v>10628872.5</v>
      </c>
      <c r="E13" s="4">
        <v>-49.53</v>
      </c>
      <c r="F13" s="4">
        <v>50.47</v>
      </c>
      <c r="G13" s="15">
        <v>-5264350.3099999996</v>
      </c>
      <c r="I13" s="15">
        <f>SUM(I10:I12)</f>
        <v>11194850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I17" s="14">
        <f>I76</f>
        <v>0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-3571935.77</v>
      </c>
      <c r="D20" s="14">
        <v>-6456354.3799999999</v>
      </c>
      <c r="E20">
        <v>-44.68</v>
      </c>
      <c r="F20">
        <v>55.32</v>
      </c>
      <c r="G20" s="14">
        <v>2884418.61</v>
      </c>
      <c r="I20" s="14">
        <f>I122</f>
        <v>-7083927.2000000002</v>
      </c>
    </row>
    <row r="21" spans="1:9" x14ac:dyDescent="0.25">
      <c r="A21" s="3" t="s">
        <v>31</v>
      </c>
      <c r="B21" s="3" t="s">
        <v>32</v>
      </c>
      <c r="C21" s="15">
        <v>-3571935.77</v>
      </c>
      <c r="D21" s="15">
        <v>-6456354.3799999999</v>
      </c>
      <c r="E21" s="4">
        <v>-44.68</v>
      </c>
      <c r="F21" s="4">
        <v>55.32</v>
      </c>
      <c r="G21" s="15">
        <v>2884418.61</v>
      </c>
      <c r="I21" s="15">
        <f>I20+I18+I17+I16</f>
        <v>-7083927.2000000002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C23" s="14">
        <v>15390</v>
      </c>
      <c r="D23" s="14">
        <v>68107.5</v>
      </c>
      <c r="E23">
        <v>-77.400000000000006</v>
      </c>
      <c r="F23">
        <v>22.6</v>
      </c>
      <c r="G23" s="14">
        <v>-52717.5</v>
      </c>
      <c r="I23" s="14">
        <f>I135</f>
        <v>55000</v>
      </c>
    </row>
    <row r="24" spans="1:9" x14ac:dyDescent="0.25">
      <c r="A24" s="2" t="s">
        <v>35</v>
      </c>
      <c r="B24" s="2" t="s">
        <v>36</v>
      </c>
      <c r="C24" s="14">
        <v>-1836010.68</v>
      </c>
      <c r="D24" s="14">
        <v>-4900201.25</v>
      </c>
      <c r="E24">
        <v>-62.53</v>
      </c>
      <c r="F24">
        <v>37.47</v>
      </c>
      <c r="G24" s="14">
        <v>3064190.57</v>
      </c>
      <c r="I24" s="14">
        <f>I197</f>
        <v>-5188397.2848000005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C26" s="14">
        <v>-9714.25</v>
      </c>
      <c r="D26" s="14">
        <v>-26000</v>
      </c>
      <c r="E26">
        <v>-62.64</v>
      </c>
      <c r="F26">
        <v>37.36</v>
      </c>
      <c r="G26" s="14">
        <v>16285.75</v>
      </c>
      <c r="I26" s="14">
        <f>I218</f>
        <v>-18800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-37748.51</v>
      </c>
      <c r="D30" s="16">
        <v>-685575.63</v>
      </c>
      <c r="E30" s="6">
        <v>-94.49</v>
      </c>
      <c r="F30" s="6">
        <v>5.51</v>
      </c>
      <c r="G30" s="16">
        <v>647827.12</v>
      </c>
      <c r="I30" s="16">
        <f>I13+I21+I23+I24+I25+I26+I27+I28</f>
        <v>-1041274.4848000007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C32" s="14">
        <v>-176517.38</v>
      </c>
      <c r="D32" s="14">
        <v>-364784.5</v>
      </c>
      <c r="E32">
        <v>-51.61</v>
      </c>
      <c r="F32">
        <v>48.39</v>
      </c>
      <c r="G32" s="14">
        <v>188267.12</v>
      </c>
      <c r="I32" s="14">
        <f>I242</f>
        <v>-352681.59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-214265.89</v>
      </c>
      <c r="D34" s="16">
        <v>-1050360.1299999999</v>
      </c>
      <c r="E34" s="6">
        <v>-79.599999999999994</v>
      </c>
      <c r="F34" s="6">
        <v>20.399999999999999</v>
      </c>
      <c r="G34" s="16">
        <v>836094.24</v>
      </c>
      <c r="I34" s="16">
        <f>I30+I32</f>
        <v>-1393956.0748000008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  <c r="C39" s="14">
        <v>4085974.58</v>
      </c>
      <c r="D39" s="14">
        <v>7868222</v>
      </c>
      <c r="E39">
        <v>-48.07</v>
      </c>
      <c r="F39">
        <v>51.93</v>
      </c>
      <c r="G39" s="14">
        <v>-3782247.42</v>
      </c>
      <c r="I39" s="14">
        <f>7762480+159648</f>
        <v>7922128</v>
      </c>
    </row>
    <row r="40" spans="1:9" x14ac:dyDescent="0.25">
      <c r="A40" s="2" t="s">
        <v>55</v>
      </c>
      <c r="B40" s="2" t="s">
        <v>56</v>
      </c>
      <c r="C40" s="14">
        <v>226929.82</v>
      </c>
      <c r="D40" s="14">
        <v>321400</v>
      </c>
      <c r="E40">
        <v>-29.39</v>
      </c>
      <c r="F40">
        <v>70.61</v>
      </c>
      <c r="G40" s="14">
        <v>-94470.18</v>
      </c>
      <c r="I40" s="14">
        <v>631928</v>
      </c>
    </row>
    <row r="41" spans="1:9" x14ac:dyDescent="0.25">
      <c r="A41" s="2" t="s">
        <v>57</v>
      </c>
      <c r="B41" s="2" t="s">
        <v>58</v>
      </c>
      <c r="C41" s="14">
        <v>11292.36</v>
      </c>
      <c r="D41" s="14">
        <v>189630</v>
      </c>
      <c r="E41">
        <v>-94.05</v>
      </c>
      <c r="F41">
        <v>5.95</v>
      </c>
      <c r="G41" s="14">
        <v>-178337.64</v>
      </c>
      <c r="I41" s="14">
        <v>197100</v>
      </c>
    </row>
    <row r="42" spans="1:9" x14ac:dyDescent="0.25">
      <c r="A42" s="2" t="s">
        <v>59</v>
      </c>
      <c r="B42" s="2" t="s">
        <v>60</v>
      </c>
      <c r="C42" s="14">
        <v>12097.41</v>
      </c>
      <c r="D42" s="14">
        <v>304623</v>
      </c>
      <c r="E42">
        <v>-96.03</v>
      </c>
      <c r="F42">
        <v>3.97</v>
      </c>
      <c r="G42" s="14">
        <v>-292525.59000000003</v>
      </c>
      <c r="I42" s="14">
        <v>14394</v>
      </c>
    </row>
    <row r="43" spans="1:9" x14ac:dyDescent="0.25">
      <c r="A43" s="2" t="s">
        <v>61</v>
      </c>
      <c r="B43" s="2" t="s">
        <v>62</v>
      </c>
      <c r="C43" s="14">
        <v>893040</v>
      </c>
      <c r="D43" s="14">
        <v>1786080</v>
      </c>
      <c r="E43">
        <v>-50</v>
      </c>
      <c r="F43">
        <v>50</v>
      </c>
      <c r="G43" s="14">
        <v>-893040</v>
      </c>
      <c r="I43" s="14">
        <f>1884540+404760</f>
        <v>2289300</v>
      </c>
    </row>
    <row r="44" spans="1:9" x14ac:dyDescent="0.25">
      <c r="A44" s="2" t="s">
        <v>63</v>
      </c>
      <c r="B44" s="2" t="s">
        <v>64</v>
      </c>
      <c r="C44" s="14">
        <v>22035.51</v>
      </c>
      <c r="G44" s="14">
        <v>22035.51</v>
      </c>
      <c r="I44" s="14">
        <v>0</v>
      </c>
    </row>
    <row r="45" spans="1:9" x14ac:dyDescent="0.25">
      <c r="A45" s="3" t="s">
        <v>65</v>
      </c>
      <c r="B45" s="3" t="s">
        <v>66</v>
      </c>
      <c r="C45" s="15">
        <v>5251369.68</v>
      </c>
      <c r="D45" s="15">
        <v>10469955</v>
      </c>
      <c r="E45" s="4">
        <v>-49.84</v>
      </c>
      <c r="F45" s="4">
        <v>50.16</v>
      </c>
      <c r="G45" s="15">
        <v>-5218585.32</v>
      </c>
      <c r="I45" s="15">
        <f>SUM(I39:I44)</f>
        <v>11054850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  <c r="C51" s="14">
        <v>42000</v>
      </c>
      <c r="G51" s="14">
        <v>42000</v>
      </c>
      <c r="I51" s="14">
        <v>50000</v>
      </c>
    </row>
    <row r="52" spans="1:9" x14ac:dyDescent="0.25">
      <c r="A52" s="2" t="s">
        <v>77</v>
      </c>
      <c r="B52" s="2" t="s">
        <v>78</v>
      </c>
      <c r="C52" s="14">
        <v>7200</v>
      </c>
      <c r="D52" s="14">
        <v>6054</v>
      </c>
      <c r="E52">
        <v>18.93</v>
      </c>
      <c r="F52">
        <v>118.93</v>
      </c>
      <c r="G52" s="14">
        <v>1146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  <c r="C54" s="14">
        <v>1471.4</v>
      </c>
      <c r="D54" s="14">
        <v>75675</v>
      </c>
      <c r="E54">
        <v>-98.06</v>
      </c>
      <c r="F54">
        <v>1.94</v>
      </c>
      <c r="G54" s="14">
        <v>-74203.600000000006</v>
      </c>
    </row>
    <row r="55" spans="1:9" x14ac:dyDescent="0.25">
      <c r="A55" s="2" t="s">
        <v>83</v>
      </c>
      <c r="B55" s="2" t="s">
        <v>84</v>
      </c>
      <c r="C55" s="14">
        <v>59281.11</v>
      </c>
      <c r="D55" s="14">
        <v>75675</v>
      </c>
      <c r="E55">
        <v>-21.66</v>
      </c>
      <c r="F55">
        <v>78.34</v>
      </c>
      <c r="G55" s="14">
        <v>-16393.89</v>
      </c>
      <c r="I55" s="14">
        <v>90000</v>
      </c>
    </row>
    <row r="56" spans="1:9" x14ac:dyDescent="0.25">
      <c r="A56" s="2" t="s">
        <v>85</v>
      </c>
      <c r="B56" s="2" t="s">
        <v>86</v>
      </c>
      <c r="D56" s="14">
        <v>1513.5</v>
      </c>
      <c r="E56">
        <v>-100</v>
      </c>
      <c r="G56" s="14">
        <v>-1513.5</v>
      </c>
    </row>
    <row r="57" spans="1:9" x14ac:dyDescent="0.25">
      <c r="A57" s="2" t="s">
        <v>87</v>
      </c>
      <c r="B57" s="2" t="s">
        <v>88</v>
      </c>
      <c r="C57" s="14">
        <v>3200</v>
      </c>
      <c r="G57" s="14">
        <v>3200</v>
      </c>
    </row>
    <row r="58" spans="1:9" x14ac:dyDescent="0.25">
      <c r="A58" s="3" t="s">
        <v>89</v>
      </c>
      <c r="B58" s="3" t="s">
        <v>17</v>
      </c>
      <c r="C58" s="15">
        <v>113152.51</v>
      </c>
      <c r="D58" s="15">
        <v>158917.5</v>
      </c>
      <c r="E58" s="4">
        <v>-28.8</v>
      </c>
      <c r="F58" s="4">
        <v>71.2</v>
      </c>
      <c r="G58" s="15">
        <v>-45764.99</v>
      </c>
      <c r="I58" s="15">
        <f>SUM(I48:I57)</f>
        <v>140000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</row>
    <row r="62" spans="1:9" x14ac:dyDescent="0.25">
      <c r="A62" s="3" t="s">
        <v>94</v>
      </c>
      <c r="B62" s="3" t="s">
        <v>95</v>
      </c>
      <c r="C62" s="15"/>
      <c r="D62" s="15"/>
      <c r="E62" s="4"/>
      <c r="F62" s="4"/>
      <c r="G62" s="15"/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5364522.1900000004</v>
      </c>
      <c r="D64" s="15">
        <v>10628872.5</v>
      </c>
      <c r="E64" s="4">
        <v>-49.53</v>
      </c>
      <c r="F64" s="4">
        <v>50.47</v>
      </c>
      <c r="G64" s="15">
        <v>-5264350.3099999996</v>
      </c>
      <c r="I64" s="15">
        <f>I62+I58+I45</f>
        <v>11194850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</row>
    <row r="76" spans="1:9" x14ac:dyDescent="0.25">
      <c r="A76" s="3" t="s">
        <v>116</v>
      </c>
      <c r="B76" s="3" t="s">
        <v>117</v>
      </c>
      <c r="C76" s="15"/>
      <c r="D76" s="15"/>
      <c r="E76" s="4"/>
      <c r="F76" s="4"/>
      <c r="G76" s="15"/>
      <c r="I76" s="15">
        <f>SUM(I72:I75)</f>
        <v>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-3274508.54</v>
      </c>
      <c r="D89" s="14">
        <v>-5675078.2400000002</v>
      </c>
      <c r="E89">
        <v>-42.3</v>
      </c>
      <c r="F89">
        <v>57.7</v>
      </c>
      <c r="G89" s="14">
        <v>2400569.7000000002</v>
      </c>
      <c r="I89" s="14">
        <f>-6810391.92-140000</f>
        <v>-6950391.9199999999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I92" s="14">
        <v>-234600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1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1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1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1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1" x14ac:dyDescent="0.25">
      <c r="A101" s="2" t="s">
        <v>161</v>
      </c>
      <c r="B101" s="2" t="s">
        <v>162</v>
      </c>
      <c r="K101" t="str">
        <f t="shared" si="0"/>
        <v xml:space="preserve"> </v>
      </c>
    </row>
    <row r="102" spans="1:11" x14ac:dyDescent="0.25">
      <c r="A102" s="2" t="s">
        <v>163</v>
      </c>
      <c r="B102" s="2" t="s">
        <v>164</v>
      </c>
      <c r="K102" t="str">
        <f t="shared" si="0"/>
        <v xml:space="preserve"> </v>
      </c>
    </row>
    <row r="103" spans="1:11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1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1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1" x14ac:dyDescent="0.25">
      <c r="A106" s="3" t="s">
        <v>171</v>
      </c>
      <c r="B106" s="3" t="s">
        <v>172</v>
      </c>
      <c r="C106" s="15">
        <v>-3274508.54</v>
      </c>
      <c r="D106" s="15">
        <v>-5675078.2400000002</v>
      </c>
      <c r="E106" s="4">
        <v>-42.3</v>
      </c>
      <c r="F106" s="4">
        <v>57.7</v>
      </c>
      <c r="G106" s="15">
        <v>2400569.7000000002</v>
      </c>
      <c r="I106" s="15">
        <f>SUM(I84:I105)</f>
        <v>-7184991.9199999999</v>
      </c>
      <c r="K106" t="str">
        <f t="shared" si="0"/>
        <v xml:space="preserve"> </v>
      </c>
    </row>
    <row r="107" spans="1:11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1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1" x14ac:dyDescent="0.25">
      <c r="A109" s="2" t="s">
        <v>175</v>
      </c>
      <c r="B109" s="2" t="s">
        <v>174</v>
      </c>
      <c r="C109" s="14">
        <v>-563282.64</v>
      </c>
      <c r="D109" s="14">
        <v>-1145872.56</v>
      </c>
      <c r="E109">
        <v>-50.84</v>
      </c>
      <c r="F109">
        <v>49.16</v>
      </c>
      <c r="G109" s="14">
        <v>582589.92000000004</v>
      </c>
      <c r="I109" s="14">
        <v>0</v>
      </c>
      <c r="K109" t="str">
        <f t="shared" si="0"/>
        <v xml:space="preserve"> </v>
      </c>
    </row>
    <row r="110" spans="1:11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1" x14ac:dyDescent="0.25">
      <c r="A111" s="3" t="s">
        <v>178</v>
      </c>
      <c r="B111" s="3" t="s">
        <v>179</v>
      </c>
      <c r="C111" s="15">
        <v>-563282.64</v>
      </c>
      <c r="D111" s="15">
        <v>-1145872.56</v>
      </c>
      <c r="E111" s="4">
        <v>-50.84</v>
      </c>
      <c r="F111" s="4">
        <v>49.16</v>
      </c>
      <c r="G111" s="15">
        <v>582589.92000000004</v>
      </c>
      <c r="I111" s="15">
        <f>I110+I109</f>
        <v>0</v>
      </c>
      <c r="K111" t="str">
        <f t="shared" si="0"/>
        <v xml:space="preserve"> </v>
      </c>
    </row>
    <row r="112" spans="1:11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102415.41</v>
      </c>
      <c r="D114" s="14">
        <v>364596.42</v>
      </c>
      <c r="E114">
        <v>-71.91</v>
      </c>
      <c r="F114">
        <v>28.09</v>
      </c>
      <c r="G114" s="14">
        <v>-262181.01</v>
      </c>
      <c r="I114" s="14">
        <v>101064.72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163440</v>
      </c>
      <c r="G115" s="14">
        <v>163440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265855.40999999997</v>
      </c>
      <c r="D121" s="15">
        <v>364596.42</v>
      </c>
      <c r="E121" s="4">
        <v>-27.08</v>
      </c>
      <c r="F121" s="4">
        <v>72.92</v>
      </c>
      <c r="G121" s="15">
        <v>-98741.01</v>
      </c>
      <c r="I121" s="15">
        <f>SUM(I114:I120)</f>
        <v>101064.72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-3571935.77</v>
      </c>
      <c r="D122" s="15">
        <v>-6456354.3799999999</v>
      </c>
      <c r="E122" s="4">
        <v>-44.68</v>
      </c>
      <c r="F122" s="4">
        <v>55.32</v>
      </c>
      <c r="G122" s="15">
        <v>2884418.61</v>
      </c>
      <c r="I122" s="15">
        <f>I121+I111+I106</f>
        <v>-7083927.2000000002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-3571935.77</v>
      </c>
      <c r="D124" s="15">
        <v>-6456354.3799999999</v>
      </c>
      <c r="E124" s="4">
        <v>-44.68</v>
      </c>
      <c r="F124" s="4">
        <v>55.32</v>
      </c>
      <c r="G124" s="15">
        <v>2884418.61</v>
      </c>
      <c r="I124" s="15">
        <f>I122+I81+I76+I69</f>
        <v>-7083927.2000000002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1792586.42</v>
      </c>
      <c r="D126" s="15">
        <v>4172518.12</v>
      </c>
      <c r="E126" s="4">
        <v>-57.04</v>
      </c>
      <c r="F126" s="4">
        <v>42.96</v>
      </c>
      <c r="G126" s="15">
        <v>-2379931.7000000002</v>
      </c>
      <c r="I126" s="15">
        <f>I64+I124</f>
        <v>4110922.8</v>
      </c>
      <c r="K126">
        <f t="shared" si="0"/>
        <v>1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1" x14ac:dyDescent="0.25">
      <c r="A129" s="2" t="s">
        <v>206</v>
      </c>
      <c r="B129" s="2" t="s">
        <v>207</v>
      </c>
      <c r="C129" s="14">
        <v>15390</v>
      </c>
      <c r="D129" s="14">
        <v>45405</v>
      </c>
      <c r="E129">
        <v>-66.11</v>
      </c>
      <c r="F129">
        <v>33.89</v>
      </c>
      <c r="G129" s="14">
        <v>-30015</v>
      </c>
      <c r="I129" s="14">
        <v>55000</v>
      </c>
      <c r="K129">
        <f t="shared" si="0"/>
        <v>1</v>
      </c>
    </row>
    <row r="130" spans="1:11" x14ac:dyDescent="0.25">
      <c r="A130" s="2" t="s">
        <v>208</v>
      </c>
      <c r="B130" s="2" t="s">
        <v>209</v>
      </c>
      <c r="D130" s="14">
        <v>7567.5</v>
      </c>
      <c r="E130">
        <v>-100</v>
      </c>
      <c r="G130" s="14">
        <v>-7567.5</v>
      </c>
      <c r="K130" t="str">
        <f t="shared" si="0"/>
        <v xml:space="preserve"> </v>
      </c>
    </row>
    <row r="131" spans="1:11" x14ac:dyDescent="0.25">
      <c r="A131" s="2" t="s">
        <v>210</v>
      </c>
      <c r="B131" s="2" t="s">
        <v>211</v>
      </c>
      <c r="D131" s="14">
        <v>15135</v>
      </c>
      <c r="E131">
        <v>-100</v>
      </c>
      <c r="G131" s="14">
        <v>-15135</v>
      </c>
      <c r="K131" t="str">
        <f t="shared" si="0"/>
        <v xml:space="preserve"> </v>
      </c>
    </row>
    <row r="132" spans="1:11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1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1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1" x14ac:dyDescent="0.25">
      <c r="A135" s="3" t="s">
        <v>218</v>
      </c>
      <c r="B135" s="3" t="s">
        <v>219</v>
      </c>
      <c r="C135" s="15">
        <v>15390</v>
      </c>
      <c r="D135" s="15">
        <v>68107.5</v>
      </c>
      <c r="E135" s="4">
        <v>-77.400000000000006</v>
      </c>
      <c r="F135" s="4">
        <v>22.6</v>
      </c>
      <c r="G135" s="15">
        <v>-52717.5</v>
      </c>
      <c r="I135" s="15">
        <f>SUM(I129:I134)</f>
        <v>55000</v>
      </c>
      <c r="K135">
        <f t="shared" si="0"/>
        <v>1</v>
      </c>
    </row>
    <row r="136" spans="1:11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1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1" x14ac:dyDescent="0.25">
      <c r="A138" s="2" t="s">
        <v>222</v>
      </c>
      <c r="B138" s="2" t="s">
        <v>223</v>
      </c>
      <c r="K138" t="str">
        <f t="shared" si="0"/>
        <v xml:space="preserve"> </v>
      </c>
    </row>
    <row r="139" spans="1:11" x14ac:dyDescent="0.25">
      <c r="A139" s="2" t="s">
        <v>224</v>
      </c>
      <c r="B139" s="2" t="s">
        <v>225</v>
      </c>
      <c r="K139" t="str">
        <f t="shared" si="0"/>
        <v xml:space="preserve"> </v>
      </c>
    </row>
    <row r="140" spans="1:11" x14ac:dyDescent="0.25">
      <c r="A140" s="2" t="s">
        <v>226</v>
      </c>
      <c r="B140" s="2" t="s">
        <v>227</v>
      </c>
      <c r="C140" s="14">
        <v>-782386.74</v>
      </c>
      <c r="D140" s="14">
        <v>-3106289.66</v>
      </c>
      <c r="E140">
        <v>-74.81</v>
      </c>
      <c r="F140">
        <v>25.19</v>
      </c>
      <c r="G140" s="14">
        <v>2323902.92</v>
      </c>
      <c r="I140" s="14">
        <f>88/440*-(Administration!I139+Laks!I140)</f>
        <v>-3455877.2848</v>
      </c>
      <c r="K140" t="str">
        <f t="shared" si="0"/>
        <v xml:space="preserve"> </v>
      </c>
    </row>
    <row r="141" spans="1:11" x14ac:dyDescent="0.25">
      <c r="A141" s="2" t="s">
        <v>228</v>
      </c>
      <c r="B141" s="2" t="s">
        <v>229</v>
      </c>
      <c r="K141" t="str">
        <f t="shared" si="0"/>
        <v xml:space="preserve"> </v>
      </c>
    </row>
    <row r="142" spans="1:11" x14ac:dyDescent="0.25">
      <c r="A142" s="2" t="s">
        <v>230</v>
      </c>
      <c r="B142" s="2" t="s">
        <v>231</v>
      </c>
      <c r="C142" s="14">
        <v>-126</v>
      </c>
      <c r="G142" s="14">
        <v>-126</v>
      </c>
      <c r="K142" t="str">
        <f t="shared" si="0"/>
        <v xml:space="preserve"> </v>
      </c>
    </row>
    <row r="143" spans="1:11" x14ac:dyDescent="0.25">
      <c r="A143" s="2" t="s">
        <v>232</v>
      </c>
      <c r="B143" s="2" t="s">
        <v>233</v>
      </c>
      <c r="C143" s="14">
        <v>-9761.14</v>
      </c>
      <c r="D143" s="14">
        <v>-15135</v>
      </c>
      <c r="E143">
        <v>-35.51</v>
      </c>
      <c r="F143">
        <v>64.489999999999995</v>
      </c>
      <c r="G143" s="14">
        <v>5373.86</v>
      </c>
      <c r="I143" s="14">
        <v>-15000</v>
      </c>
      <c r="K143" t="str">
        <f t="shared" si="0"/>
        <v xml:space="preserve"> </v>
      </c>
    </row>
    <row r="144" spans="1:11" x14ac:dyDescent="0.25">
      <c r="A144" s="2" t="s">
        <v>234</v>
      </c>
      <c r="B144" s="2" t="s">
        <v>235</v>
      </c>
      <c r="D144" s="14">
        <v>-5045</v>
      </c>
      <c r="E144">
        <v>-100</v>
      </c>
      <c r="G144" s="14">
        <v>5045</v>
      </c>
      <c r="I144" s="14">
        <v>0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C145" s="14">
        <v>-280</v>
      </c>
      <c r="D145" s="14">
        <v>-10090</v>
      </c>
      <c r="E145">
        <v>-97.22</v>
      </c>
      <c r="F145">
        <v>2.78</v>
      </c>
      <c r="G145" s="14">
        <v>9810</v>
      </c>
      <c r="I145" s="14">
        <v>0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D146" s="14">
        <v>-2018</v>
      </c>
      <c r="E146">
        <v>-100</v>
      </c>
      <c r="G146" s="14">
        <v>2018</v>
      </c>
      <c r="I146" s="14">
        <v>-2500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-102217.62</v>
      </c>
      <c r="G147" s="14">
        <v>-102217.62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C149" s="14">
        <v>-13457.74</v>
      </c>
      <c r="G149" s="14">
        <v>-13457.74</v>
      </c>
      <c r="I149" s="14">
        <v>-20000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C150" s="14">
        <v>-8540.61</v>
      </c>
      <c r="G150" s="14">
        <v>-8540.61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C151" s="14">
        <v>-47970.09</v>
      </c>
      <c r="G151" s="14">
        <v>-47970.09</v>
      </c>
      <c r="I151" s="14">
        <v>-100000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C153" s="14">
        <v>-423</v>
      </c>
      <c r="D153" s="14">
        <v>-414.09</v>
      </c>
      <c r="E153">
        <v>2.15</v>
      </c>
      <c r="F153">
        <v>102.15</v>
      </c>
      <c r="G153" s="14">
        <v>-8.91</v>
      </c>
      <c r="I153" s="14">
        <v>-500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C155" s="14">
        <v>-1250</v>
      </c>
      <c r="D155" s="14">
        <v>-9585.5</v>
      </c>
      <c r="E155">
        <v>-86.96</v>
      </c>
      <c r="F155">
        <v>13.04</v>
      </c>
      <c r="G155" s="14">
        <v>8335.5</v>
      </c>
      <c r="I155" s="14">
        <f>88*-100</f>
        <v>-8800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C158" s="14">
        <v>-58269.96</v>
      </c>
      <c r="D158" s="14">
        <v>-121080</v>
      </c>
      <c r="E158">
        <v>-51.87</v>
      </c>
      <c r="F158">
        <v>48.13</v>
      </c>
      <c r="G158" s="14">
        <v>62810.04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C161" s="14">
        <v>-53020.68</v>
      </c>
      <c r="D161" s="14">
        <v>-157404</v>
      </c>
      <c r="E161">
        <v>-66.319999999999993</v>
      </c>
      <c r="F161">
        <v>33.68</v>
      </c>
      <c r="G161" s="14">
        <v>104383.32</v>
      </c>
      <c r="I161" s="14">
        <f>-22000*12</f>
        <v>-264000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C162" s="14">
        <v>-48813.279999999999</v>
      </c>
      <c r="D162" s="14">
        <v>-110990</v>
      </c>
      <c r="E162">
        <v>-56.02</v>
      </c>
      <c r="F162">
        <v>43.98</v>
      </c>
      <c r="G162" s="14">
        <v>62176.72</v>
      </c>
      <c r="I162" s="14">
        <v>-150000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C163" s="14">
        <v>1908.31</v>
      </c>
      <c r="D163" s="14">
        <v>-30270</v>
      </c>
      <c r="E163">
        <v>-106.3</v>
      </c>
      <c r="F163">
        <v>-6.3</v>
      </c>
      <c r="G163" s="14">
        <v>32178.31</v>
      </c>
      <c r="I163" s="14">
        <f>-5000-(1587.5+236.25)*4</f>
        <v>-12295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C164" s="14">
        <v>-12495.31</v>
      </c>
      <c r="D164" s="14">
        <v>-18666.5</v>
      </c>
      <c r="E164">
        <v>-33.06</v>
      </c>
      <c r="F164">
        <v>66.94</v>
      </c>
      <c r="G164" s="14">
        <v>6171.19</v>
      </c>
      <c r="I164" s="14">
        <f>-2000*8</f>
        <v>-16000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D165" s="14">
        <v>-4036</v>
      </c>
      <c r="E165">
        <v>-100</v>
      </c>
      <c r="G165" s="14">
        <v>4036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K166" t="str">
        <f t="shared" si="1"/>
        <v xml:space="preserve"> </v>
      </c>
    </row>
    <row r="167" spans="1:11" x14ac:dyDescent="0.25">
      <c r="A167" s="2" t="s">
        <v>280</v>
      </c>
      <c r="B167" s="2" t="s">
        <v>281</v>
      </c>
      <c r="C167" s="14">
        <v>-40483.68</v>
      </c>
      <c r="G167" s="14">
        <v>-40483.68</v>
      </c>
      <c r="I167" s="14">
        <v>-40000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-11158.22</v>
      </c>
      <c r="G168" s="14">
        <v>-11158.22</v>
      </c>
      <c r="I168" s="14">
        <f>-7000*4</f>
        <v>-28000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C172" s="14">
        <v>-2444</v>
      </c>
      <c r="D172" s="14">
        <v>-20180</v>
      </c>
      <c r="E172">
        <v>-87.89</v>
      </c>
      <c r="F172">
        <v>12.11</v>
      </c>
      <c r="G172" s="14">
        <v>17736</v>
      </c>
      <c r="I172" s="14">
        <v>-2500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-4057.45</v>
      </c>
      <c r="G173" s="14">
        <v>-4057.45</v>
      </c>
      <c r="I173" s="14">
        <f>-4250*4</f>
        <v>-17000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C174" s="14">
        <v>-2115</v>
      </c>
      <c r="D174" s="14">
        <v>-5045</v>
      </c>
      <c r="E174">
        <v>-58.08</v>
      </c>
      <c r="F174">
        <v>41.92</v>
      </c>
      <c r="G174" s="14">
        <v>2930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D175" s="14">
        <v>-1009</v>
      </c>
      <c r="E175">
        <v>-100</v>
      </c>
      <c r="G175" s="14">
        <v>1009</v>
      </c>
      <c r="I175" s="14">
        <v>-2500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-193631.37</v>
      </c>
      <c r="D176" s="14">
        <v>-363240</v>
      </c>
      <c r="E176">
        <v>-46.69</v>
      </c>
      <c r="F176">
        <v>53.31</v>
      </c>
      <c r="G176" s="14">
        <v>169608.63</v>
      </c>
      <c r="I176" s="14">
        <f>-32000*12</f>
        <v>-384000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D177" s="14">
        <v>-6054</v>
      </c>
      <c r="E177">
        <v>-100</v>
      </c>
      <c r="G177" s="14">
        <v>6054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C178" s="14">
        <v>-61.09</v>
      </c>
      <c r="D178" s="14">
        <v>-5045</v>
      </c>
      <c r="E178">
        <v>-98.79</v>
      </c>
      <c r="F178">
        <v>1.21</v>
      </c>
      <c r="G178" s="14">
        <v>4983.91</v>
      </c>
      <c r="I178" s="14">
        <f>-88*50</f>
        <v>-4400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D179" s="14">
        <v>-5045</v>
      </c>
      <c r="E179">
        <v>-100</v>
      </c>
      <c r="G179" s="14">
        <v>5045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C180" s="14">
        <v>-18600.84</v>
      </c>
      <c r="D180" s="14">
        <v>-43387</v>
      </c>
      <c r="E180">
        <v>-57.13</v>
      </c>
      <c r="F180">
        <v>42.87</v>
      </c>
      <c r="G180" s="14">
        <v>24786.16</v>
      </c>
      <c r="I180" s="14">
        <f>-4250*4-5000</f>
        <v>-22000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C181" s="14">
        <v>-32000</v>
      </c>
      <c r="D181" s="14">
        <v>-50450</v>
      </c>
      <c r="E181">
        <v>-36.57</v>
      </c>
      <c r="F181">
        <v>63.43</v>
      </c>
      <c r="G181" s="14">
        <v>18450</v>
      </c>
      <c r="I181" s="14">
        <v>-15000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C183" s="14">
        <v>-9025.7800000000007</v>
      </c>
      <c r="D183" s="14">
        <v>-47927.5</v>
      </c>
      <c r="E183">
        <v>-81.17</v>
      </c>
      <c r="F183">
        <v>18.829999999999998</v>
      </c>
      <c r="G183" s="14">
        <v>38901.72</v>
      </c>
      <c r="I183" s="14">
        <f>-500*88</f>
        <v>-44000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C184" s="14">
        <v>-52594.73</v>
      </c>
      <c r="D184" s="14">
        <v>-70630</v>
      </c>
      <c r="E184">
        <v>-25.53</v>
      </c>
      <c r="F184">
        <v>74.47</v>
      </c>
      <c r="G184" s="14">
        <v>18035.27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C185" s="14">
        <v>-3174.69</v>
      </c>
      <c r="D185" s="14">
        <v>-20180</v>
      </c>
      <c r="E185">
        <v>-84.27</v>
      </c>
      <c r="F185">
        <v>15.73</v>
      </c>
      <c r="G185" s="14">
        <v>17005.310000000001</v>
      </c>
      <c r="I185" s="14">
        <v>-10000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-13762.43</v>
      </c>
      <c r="D186" s="14">
        <v>-100900</v>
      </c>
      <c r="E186">
        <v>-86.36</v>
      </c>
      <c r="F186">
        <v>13.64</v>
      </c>
      <c r="G186" s="14">
        <v>87137.57</v>
      </c>
      <c r="I186" s="14">
        <v>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C187" s="14">
        <v>-13204.5</v>
      </c>
      <c r="D187" s="14">
        <v>-38342</v>
      </c>
      <c r="E187">
        <v>-65.56</v>
      </c>
      <c r="F187">
        <v>34.44</v>
      </c>
      <c r="G187" s="14">
        <v>25137.5</v>
      </c>
      <c r="I187" s="14">
        <f>-400*88</f>
        <v>-35200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-287031.65000000002</v>
      </c>
      <c r="D188" s="14">
        <v>-428825</v>
      </c>
      <c r="E188">
        <v>-33.07</v>
      </c>
      <c r="F188">
        <v>66.930000000000007</v>
      </c>
      <c r="G188" s="14">
        <v>141793.35</v>
      </c>
      <c r="I188" s="14">
        <f>-428825-100000</f>
        <v>-528825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C189" s="14">
        <v>2740</v>
      </c>
      <c r="G189" s="14">
        <v>2740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D190" s="14">
        <v>-2018</v>
      </c>
      <c r="E190">
        <v>-100</v>
      </c>
      <c r="G190" s="14">
        <v>2018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C192" s="14">
        <v>-18301.39</v>
      </c>
      <c r="D192" s="14">
        <v>-100900</v>
      </c>
      <c r="E192">
        <v>-81.86</v>
      </c>
      <c r="F192">
        <v>18.14</v>
      </c>
      <c r="G192" s="14">
        <v>82598.61</v>
      </c>
      <c r="I192" s="14">
        <v>-10000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-1836010.68</v>
      </c>
      <c r="D197" s="15">
        <v>-4900201.25</v>
      </c>
      <c r="E197" s="4">
        <v>-62.53</v>
      </c>
      <c r="F197" s="4">
        <v>37.47</v>
      </c>
      <c r="G197" s="15">
        <v>3064190.57</v>
      </c>
      <c r="I197" s="15">
        <f>SUM(I138:I196)</f>
        <v>-5188397.2848000005</v>
      </c>
      <c r="K197" t="str">
        <f t="shared" si="1"/>
        <v xml:space="preserve"> 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C212" s="14">
        <v>-9714.25</v>
      </c>
      <c r="D212" s="14">
        <v>-26000</v>
      </c>
      <c r="E212">
        <v>-62.64</v>
      </c>
      <c r="F212">
        <v>37.36</v>
      </c>
      <c r="G212" s="14">
        <v>16285.75</v>
      </c>
      <c r="I212" s="14">
        <f>-(500+400+3500+900-600)*4</f>
        <v>-18800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>
        <v>-9714.25</v>
      </c>
      <c r="D218" s="15">
        <v>-26000</v>
      </c>
      <c r="E218" s="4">
        <v>-62.64</v>
      </c>
      <c r="F218" s="4">
        <v>37.36</v>
      </c>
      <c r="G218" s="15">
        <v>16285.75</v>
      </c>
      <c r="I218" s="15">
        <f>SUM(I211:I217)</f>
        <v>-18800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-37748.51</v>
      </c>
      <c r="D228" s="16">
        <v>-685575.63</v>
      </c>
      <c r="E228" s="6">
        <v>-94.49</v>
      </c>
      <c r="F228" s="6">
        <v>5.51</v>
      </c>
      <c r="G228" s="16">
        <v>647827.12</v>
      </c>
      <c r="I228" s="16">
        <f>I126+I135+I197+I208+I218+I222+I226</f>
        <v>-1041274.4848000007</v>
      </c>
      <c r="K228" t="str">
        <f t="shared" si="2"/>
        <v xml:space="preserve"> 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-37748.51</v>
      </c>
      <c r="D236" s="16">
        <v>-685575.63</v>
      </c>
      <c r="E236" s="6">
        <v>-94.49</v>
      </c>
      <c r="F236" s="6">
        <v>5.51</v>
      </c>
      <c r="G236" s="16">
        <v>647827.12</v>
      </c>
      <c r="I236" s="16">
        <f>I228+I234</f>
        <v>-1041274.4848000007</v>
      </c>
      <c r="K236" t="str">
        <f t="shared" si="2"/>
        <v xml:space="preserve"> 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C240" s="14">
        <v>-176517.38</v>
      </c>
      <c r="D240" s="14">
        <v>-364784.5</v>
      </c>
      <c r="E240">
        <v>-51.61</v>
      </c>
      <c r="F240">
        <v>48.39</v>
      </c>
      <c r="G240" s="14">
        <v>188267.12</v>
      </c>
      <c r="I240" s="14">
        <v>-352681.59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>
        <v>-176517.38</v>
      </c>
      <c r="D242" s="15">
        <v>-364784.5</v>
      </c>
      <c r="E242" s="4">
        <v>-51.61</v>
      </c>
      <c r="F242" s="4">
        <v>48.39</v>
      </c>
      <c r="G242" s="15">
        <v>188267.12</v>
      </c>
      <c r="I242" s="15">
        <f>SUM(I238:I241)</f>
        <v>-352681.59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-214265.89</v>
      </c>
      <c r="D244" s="16">
        <v>-1050360.1299999999</v>
      </c>
      <c r="E244" s="6">
        <v>-79.599999999999994</v>
      </c>
      <c r="F244" s="6">
        <v>20.399999999999999</v>
      </c>
      <c r="G244" s="16">
        <v>836094.24</v>
      </c>
      <c r="I244" s="16">
        <f>I236+I242</f>
        <v>-1393956.0748000008</v>
      </c>
      <c r="K244" t="str">
        <f t="shared" si="2"/>
        <v xml:space="preserve"> </v>
      </c>
    </row>
  </sheetData>
  <sheetProtection algorithmName="SHA-512" hashValue="4usJQ7EO8iZZwJIyybJqoO5of8f4G4jYOZmMr/yCnHbWx487dbiMyGmS/jqubW2BgrPlYDgtQNid4KT3YM68GQ==" saltValue="2SIlkl/oz+CugluPQgec8w==" spinCount="100000" sheet="1" objects="1" scenarios="1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4"/>
  <sheetViews>
    <sheetView topLeftCell="A162" workbookViewId="0">
      <selection activeCell="M186" sqref="M186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3.28515625" style="14" hidden="1" customWidth="1"/>
    <col min="5" max="5" width="10.28515625" hidden="1" customWidth="1"/>
    <col min="6" max="6" width="19.42578125" hidden="1" customWidth="1"/>
    <col min="7" max="7" width="13.28515625" style="14" hidden="1" customWidth="1"/>
    <col min="8" max="8" width="2.7109375" hidden="1" customWidth="1"/>
    <col min="9" max="9" width="17.710937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418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4607424.25</v>
      </c>
      <c r="D10" s="14">
        <v>9480839</v>
      </c>
      <c r="E10">
        <v>-51.4</v>
      </c>
      <c r="F10">
        <v>48.6</v>
      </c>
      <c r="G10" s="14">
        <v>-4873414.75</v>
      </c>
      <c r="I10" s="14">
        <f>I45</f>
        <v>8661402</v>
      </c>
    </row>
    <row r="11" spans="1:9" x14ac:dyDescent="0.25">
      <c r="A11" s="2" t="s">
        <v>16</v>
      </c>
      <c r="B11" s="2" t="s">
        <v>17</v>
      </c>
      <c r="C11" s="14">
        <v>74487.100000000006</v>
      </c>
      <c r="D11" s="14">
        <v>116882.56</v>
      </c>
      <c r="E11">
        <v>-36.270000000000003</v>
      </c>
      <c r="F11">
        <v>63.73</v>
      </c>
      <c r="G11" s="14">
        <v>-42395.46</v>
      </c>
      <c r="I11" s="14">
        <f>I58</f>
        <v>77000</v>
      </c>
    </row>
    <row r="12" spans="1:9" x14ac:dyDescent="0.25">
      <c r="A12" s="2" t="s">
        <v>18</v>
      </c>
      <c r="B12" s="2" t="s">
        <v>19</v>
      </c>
      <c r="C12" s="14">
        <v>20900.25</v>
      </c>
      <c r="D12" s="14">
        <v>60540</v>
      </c>
      <c r="E12">
        <v>-65.48</v>
      </c>
      <c r="F12">
        <v>34.520000000000003</v>
      </c>
      <c r="G12" s="14">
        <v>-39639.75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4702811.5999999996</v>
      </c>
      <c r="D13" s="15">
        <v>9658261.5600000005</v>
      </c>
      <c r="E13" s="4">
        <v>-51.31</v>
      </c>
      <c r="F13" s="4">
        <v>48.69</v>
      </c>
      <c r="G13" s="15">
        <v>-4955449.96</v>
      </c>
      <c r="I13" s="15">
        <f>SUM(I10:I12)</f>
        <v>8738402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C17" s="14">
        <v>-39817</v>
      </c>
      <c r="D17" s="14">
        <v>-88448.94</v>
      </c>
      <c r="E17">
        <v>-54.98</v>
      </c>
      <c r="F17">
        <v>45.02</v>
      </c>
      <c r="G17" s="14">
        <v>48631.94</v>
      </c>
      <c r="I17" s="14">
        <f>I76</f>
        <v>-77046.399999999994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-3449803.78</v>
      </c>
      <c r="D20" s="14">
        <v>-6557450.0899999999</v>
      </c>
      <c r="E20">
        <v>-47.39</v>
      </c>
      <c r="F20">
        <v>52.61</v>
      </c>
      <c r="G20" s="14">
        <v>3107646.31</v>
      </c>
      <c r="I20" s="14">
        <f>I122</f>
        <v>-5362735.16</v>
      </c>
    </row>
    <row r="21" spans="1:9" x14ac:dyDescent="0.25">
      <c r="A21" s="3" t="s">
        <v>31</v>
      </c>
      <c r="B21" s="3" t="s">
        <v>32</v>
      </c>
      <c r="C21" s="15">
        <v>-3489620.78</v>
      </c>
      <c r="D21" s="15">
        <v>-6645899.0300000003</v>
      </c>
      <c r="E21" s="4">
        <v>-47.49</v>
      </c>
      <c r="F21" s="4">
        <v>52.51</v>
      </c>
      <c r="G21" s="15">
        <v>3156278.25</v>
      </c>
      <c r="I21" s="15">
        <f>I20+I18+I17+I16</f>
        <v>-5439781.5600000005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C23" s="14">
        <v>14535</v>
      </c>
      <c r="D23" s="14">
        <v>106497.76</v>
      </c>
      <c r="E23">
        <v>-86.35</v>
      </c>
      <c r="F23">
        <v>13.65</v>
      </c>
      <c r="G23" s="14">
        <v>-91962.76</v>
      </c>
      <c r="I23" s="14">
        <f>I135</f>
        <v>32000</v>
      </c>
    </row>
    <row r="24" spans="1:9" x14ac:dyDescent="0.25">
      <c r="A24" s="2" t="s">
        <v>35</v>
      </c>
      <c r="B24" s="2" t="s">
        <v>36</v>
      </c>
      <c r="C24" s="14">
        <v>-1410528.7</v>
      </c>
      <c r="D24" s="14">
        <v>-4797627.29</v>
      </c>
      <c r="E24">
        <v>-70.599999999999994</v>
      </c>
      <c r="F24">
        <v>29.4</v>
      </c>
      <c r="G24" s="14">
        <v>3387098.59</v>
      </c>
      <c r="I24" s="14">
        <f>I197</f>
        <v>-4187626.7635999997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C26" s="14">
        <v>-97454.8</v>
      </c>
      <c r="D26" s="14">
        <v>-190000</v>
      </c>
      <c r="E26">
        <v>-48.71</v>
      </c>
      <c r="F26">
        <v>51.29</v>
      </c>
      <c r="G26" s="14">
        <v>92545.2</v>
      </c>
      <c r="I26" s="14">
        <f>I218</f>
        <v>-168800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-280257.68</v>
      </c>
      <c r="D30" s="16">
        <v>-1868767</v>
      </c>
      <c r="E30" s="6">
        <v>-85</v>
      </c>
      <c r="F30" s="6">
        <v>15</v>
      </c>
      <c r="G30" s="16">
        <v>1588509.32</v>
      </c>
      <c r="I30" s="16">
        <f>I13+I21+I23+I24+I25+I26+I27+I28</f>
        <v>-1025806.3236000002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C32" s="14">
        <v>-115673.04</v>
      </c>
      <c r="D32" s="14">
        <v>-866887.12</v>
      </c>
      <c r="E32">
        <v>-86.66</v>
      </c>
      <c r="F32">
        <v>13.34</v>
      </c>
      <c r="G32" s="14">
        <v>751214.07999999996</v>
      </c>
      <c r="I32" s="14">
        <f>I242</f>
        <v>-182968.32000000001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-395930.72</v>
      </c>
      <c r="D34" s="16">
        <v>-2735654.12</v>
      </c>
      <c r="E34" s="6">
        <v>-85.53</v>
      </c>
      <c r="F34" s="6">
        <v>14.47</v>
      </c>
      <c r="G34" s="16">
        <v>2339723.4</v>
      </c>
      <c r="I34" s="16">
        <f>I30+I32</f>
        <v>-1208774.6436000003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  <c r="C39" s="14">
        <v>3482269.78</v>
      </c>
      <c r="D39" s="14">
        <v>6925055</v>
      </c>
      <c r="E39">
        <v>-49.71</v>
      </c>
      <c r="F39">
        <v>50.29</v>
      </c>
      <c r="G39" s="14">
        <v>-3442785.22</v>
      </c>
      <c r="I39" s="14">
        <f>5821860+13304</f>
        <v>5835164</v>
      </c>
    </row>
    <row r="40" spans="1:9" x14ac:dyDescent="0.25">
      <c r="A40" s="2" t="s">
        <v>55</v>
      </c>
      <c r="B40" s="2" t="s">
        <v>56</v>
      </c>
      <c r="C40" s="14">
        <v>193400.82</v>
      </c>
      <c r="D40" s="14">
        <v>321400</v>
      </c>
      <c r="E40">
        <v>-39.83</v>
      </c>
      <c r="F40">
        <v>60.17</v>
      </c>
      <c r="G40" s="14">
        <v>-127999.18</v>
      </c>
      <c r="I40" s="14">
        <v>473946</v>
      </c>
    </row>
    <row r="41" spans="1:9" x14ac:dyDescent="0.25">
      <c r="A41" s="2" t="s">
        <v>57</v>
      </c>
      <c r="B41" s="2" t="s">
        <v>58</v>
      </c>
      <c r="C41" s="14">
        <v>9623.8799999999992</v>
      </c>
      <c r="D41" s="14">
        <v>42140</v>
      </c>
      <c r="E41">
        <v>-77.16</v>
      </c>
      <c r="F41">
        <v>22.84</v>
      </c>
      <c r="G41" s="14">
        <v>-32516.12</v>
      </c>
      <c r="I41" s="14">
        <v>43800</v>
      </c>
    </row>
    <row r="42" spans="1:9" x14ac:dyDescent="0.25">
      <c r="A42" s="2" t="s">
        <v>59</v>
      </c>
      <c r="B42" s="2" t="s">
        <v>60</v>
      </c>
      <c r="C42" s="14">
        <v>10310.01</v>
      </c>
      <c r="D42" s="14">
        <v>406164</v>
      </c>
      <c r="E42">
        <v>-97.46</v>
      </c>
      <c r="F42">
        <v>2.54</v>
      </c>
      <c r="G42" s="14">
        <v>-395853.99</v>
      </c>
      <c r="I42" s="14">
        <v>19192</v>
      </c>
    </row>
    <row r="43" spans="1:9" x14ac:dyDescent="0.25">
      <c r="A43" s="2" t="s">
        <v>61</v>
      </c>
      <c r="B43" s="2" t="s">
        <v>62</v>
      </c>
      <c r="C43" s="14">
        <v>893040</v>
      </c>
      <c r="D43" s="14">
        <v>1786080</v>
      </c>
      <c r="E43">
        <v>-50</v>
      </c>
      <c r="F43">
        <v>50</v>
      </c>
      <c r="G43" s="14">
        <v>-893040</v>
      </c>
      <c r="I43" s="14">
        <f>1884540+404760</f>
        <v>2289300</v>
      </c>
    </row>
    <row r="44" spans="1:9" x14ac:dyDescent="0.25">
      <c r="A44" s="2" t="s">
        <v>63</v>
      </c>
      <c r="B44" s="2" t="s">
        <v>64</v>
      </c>
      <c r="C44" s="14">
        <v>18779.759999999998</v>
      </c>
      <c r="G44" s="14">
        <v>18779.759999999998</v>
      </c>
      <c r="I44" s="14">
        <v>0</v>
      </c>
    </row>
    <row r="45" spans="1:9" x14ac:dyDescent="0.25">
      <c r="A45" s="3" t="s">
        <v>65</v>
      </c>
      <c r="B45" s="3" t="s">
        <v>66</v>
      </c>
      <c r="C45" s="15">
        <v>4607424.25</v>
      </c>
      <c r="D45" s="15">
        <v>9480839</v>
      </c>
      <c r="E45" s="4">
        <v>-51.4</v>
      </c>
      <c r="F45" s="4">
        <v>48.6</v>
      </c>
      <c r="G45" s="15">
        <v>-4873414.75</v>
      </c>
      <c r="I45" s="15">
        <f>SUM(I39:I44)</f>
        <v>8661402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  <c r="C49" s="14">
        <v>19700.900000000001</v>
      </c>
      <c r="G49" s="14">
        <v>19700.900000000001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</row>
    <row r="52" spans="1:9" x14ac:dyDescent="0.25">
      <c r="A52" s="2" t="s">
        <v>77</v>
      </c>
      <c r="B52" s="2" t="s">
        <v>78</v>
      </c>
      <c r="C52" s="14">
        <v>13500</v>
      </c>
      <c r="G52" s="14">
        <v>13500</v>
      </c>
      <c r="I52" s="14">
        <f>13500*2</f>
        <v>27000</v>
      </c>
    </row>
    <row r="53" spans="1:9" x14ac:dyDescent="0.25">
      <c r="A53" s="2" t="s">
        <v>79</v>
      </c>
      <c r="B53" s="2" t="s">
        <v>80</v>
      </c>
      <c r="D53" s="14">
        <v>27243</v>
      </c>
      <c r="E53">
        <v>-100</v>
      </c>
      <c r="G53" s="14">
        <v>-27243</v>
      </c>
    </row>
    <row r="54" spans="1:9" x14ac:dyDescent="0.25">
      <c r="A54" s="2" t="s">
        <v>81</v>
      </c>
      <c r="B54" s="2" t="s">
        <v>82</v>
      </c>
    </row>
    <row r="55" spans="1:9" x14ac:dyDescent="0.25">
      <c r="A55" s="2" t="s">
        <v>83</v>
      </c>
      <c r="B55" s="2" t="s">
        <v>84</v>
      </c>
      <c r="C55" s="14">
        <v>41286.199999999997</v>
      </c>
      <c r="D55" s="14">
        <v>10090</v>
      </c>
      <c r="E55">
        <v>309.18</v>
      </c>
      <c r="F55">
        <v>409.18</v>
      </c>
      <c r="G55" s="14">
        <v>31196.2</v>
      </c>
      <c r="I55" s="14">
        <v>50000</v>
      </c>
    </row>
    <row r="56" spans="1:9" x14ac:dyDescent="0.25">
      <c r="A56" s="2" t="s">
        <v>85</v>
      </c>
      <c r="B56" s="2" t="s">
        <v>86</v>
      </c>
    </row>
    <row r="57" spans="1:9" x14ac:dyDescent="0.25">
      <c r="A57" s="2" t="s">
        <v>87</v>
      </c>
      <c r="B57" s="2" t="s">
        <v>88</v>
      </c>
      <c r="D57" s="14">
        <v>79549.56</v>
      </c>
      <c r="E57">
        <v>-100</v>
      </c>
      <c r="G57" s="14">
        <v>-79549.56</v>
      </c>
    </row>
    <row r="58" spans="1:9" x14ac:dyDescent="0.25">
      <c r="A58" s="3" t="s">
        <v>89</v>
      </c>
      <c r="B58" s="3" t="s">
        <v>17</v>
      </c>
      <c r="C58" s="15">
        <v>74487.100000000006</v>
      </c>
      <c r="D58" s="15">
        <v>116882.56</v>
      </c>
      <c r="E58" s="4">
        <v>-36.270000000000003</v>
      </c>
      <c r="F58" s="4">
        <v>63.73</v>
      </c>
      <c r="G58" s="15">
        <v>-42395.46</v>
      </c>
      <c r="I58" s="15">
        <f>SUM(I48:I57)</f>
        <v>77000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  <c r="C61" s="14">
        <v>20900.25</v>
      </c>
      <c r="D61" s="14">
        <v>60540</v>
      </c>
      <c r="E61">
        <v>-65.48</v>
      </c>
      <c r="F61">
        <v>34.520000000000003</v>
      </c>
      <c r="G61" s="14">
        <v>-39639.75</v>
      </c>
    </row>
    <row r="62" spans="1:9" x14ac:dyDescent="0.25">
      <c r="A62" s="3" t="s">
        <v>94</v>
      </c>
      <c r="B62" s="3" t="s">
        <v>95</v>
      </c>
      <c r="C62" s="15">
        <v>20900.25</v>
      </c>
      <c r="D62" s="15">
        <v>60540</v>
      </c>
      <c r="E62" s="4">
        <v>-65.48</v>
      </c>
      <c r="F62" s="4">
        <v>34.520000000000003</v>
      </c>
      <c r="G62" s="15">
        <v>-39639.75</v>
      </c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4702811.5999999996</v>
      </c>
      <c r="D64" s="15">
        <v>9658261.5600000005</v>
      </c>
      <c r="E64" s="4">
        <v>-51.31</v>
      </c>
      <c r="F64" s="4">
        <v>48.69</v>
      </c>
      <c r="G64" s="15">
        <v>-4955449.96</v>
      </c>
      <c r="I64" s="15">
        <f>I62+I58+I45</f>
        <v>8738402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  <c r="C74" s="14">
        <v>-18830</v>
      </c>
      <c r="D74" s="14">
        <v>-37998.94</v>
      </c>
      <c r="E74">
        <v>-50.45</v>
      </c>
      <c r="F74">
        <v>49.55</v>
      </c>
      <c r="G74" s="14">
        <v>19168.939999999999</v>
      </c>
      <c r="I74" s="14">
        <f>-18830*2</f>
        <v>-37660</v>
      </c>
    </row>
    <row r="75" spans="1:9" x14ac:dyDescent="0.25">
      <c r="A75" s="2" t="s">
        <v>114</v>
      </c>
      <c r="B75" s="2" t="s">
        <v>115</v>
      </c>
      <c r="C75" s="14">
        <v>-20987</v>
      </c>
      <c r="D75" s="14">
        <v>-50450</v>
      </c>
      <c r="E75">
        <v>-58.4</v>
      </c>
      <c r="F75">
        <v>41.6</v>
      </c>
      <c r="G75" s="14">
        <v>29463</v>
      </c>
      <c r="I75" s="14">
        <f>(-1300-1982.2)*12</f>
        <v>-39386.399999999994</v>
      </c>
    </row>
    <row r="76" spans="1:9" x14ac:dyDescent="0.25">
      <c r="A76" s="3" t="s">
        <v>116</v>
      </c>
      <c r="B76" s="3" t="s">
        <v>117</v>
      </c>
      <c r="C76" s="15">
        <v>-39817</v>
      </c>
      <c r="D76" s="15">
        <v>-88448.94</v>
      </c>
      <c r="E76" s="4">
        <v>-54.98</v>
      </c>
      <c r="F76" s="4">
        <v>45.02</v>
      </c>
      <c r="G76" s="15">
        <v>48631.94</v>
      </c>
      <c r="I76" s="15">
        <f>SUM(I72:I75)</f>
        <v>-77046.399999999994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9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9" x14ac:dyDescent="0.25">
      <c r="A82" s="2" t="s">
        <v>12</v>
      </c>
      <c r="B82" s="2" t="s">
        <v>12</v>
      </c>
    </row>
    <row r="83" spans="1:9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9" x14ac:dyDescent="0.25">
      <c r="A84" s="2" t="s">
        <v>127</v>
      </c>
      <c r="B84" s="2" t="s">
        <v>128</v>
      </c>
    </row>
    <row r="85" spans="1:9" x14ac:dyDescent="0.25">
      <c r="A85" s="2" t="s">
        <v>129</v>
      </c>
      <c r="B85" s="2" t="s">
        <v>130</v>
      </c>
    </row>
    <row r="86" spans="1:9" x14ac:dyDescent="0.25">
      <c r="A86" s="2" t="s">
        <v>131</v>
      </c>
      <c r="B86" s="2" t="s">
        <v>132</v>
      </c>
    </row>
    <row r="87" spans="1:9" x14ac:dyDescent="0.25">
      <c r="A87" s="2" t="s">
        <v>133</v>
      </c>
      <c r="B87" s="2" t="s">
        <v>134</v>
      </c>
    </row>
    <row r="88" spans="1:9" x14ac:dyDescent="0.25">
      <c r="A88" s="2" t="s">
        <v>135</v>
      </c>
      <c r="B88" s="2" t="s">
        <v>136</v>
      </c>
    </row>
    <row r="89" spans="1:9" x14ac:dyDescent="0.25">
      <c r="A89" s="2" t="s">
        <v>137</v>
      </c>
      <c r="B89" s="2" t="s">
        <v>138</v>
      </c>
      <c r="C89" s="14">
        <v>-3289348.7</v>
      </c>
      <c r="D89" s="14">
        <v>-5527986.3700000001</v>
      </c>
      <c r="E89">
        <v>-40.5</v>
      </c>
      <c r="F89">
        <v>59.5</v>
      </c>
      <c r="G89" s="14">
        <v>2238637.67</v>
      </c>
      <c r="I89" s="14">
        <f>-5291698.88-105000</f>
        <v>-5396698.8799999999</v>
      </c>
    </row>
    <row r="90" spans="1:9" x14ac:dyDescent="0.25">
      <c r="A90" s="2" t="s">
        <v>139</v>
      </c>
      <c r="B90" s="2" t="s">
        <v>140</v>
      </c>
    </row>
    <row r="91" spans="1:9" x14ac:dyDescent="0.25">
      <c r="A91" s="2" t="s">
        <v>141</v>
      </c>
      <c r="B91" s="2" t="s">
        <v>142</v>
      </c>
    </row>
    <row r="92" spans="1:9" x14ac:dyDescent="0.25">
      <c r="A92" s="2" t="s">
        <v>143</v>
      </c>
      <c r="B92" s="2" t="s">
        <v>144</v>
      </c>
      <c r="I92" s="14">
        <v>-175950</v>
      </c>
    </row>
    <row r="93" spans="1:9" x14ac:dyDescent="0.25">
      <c r="A93" s="2" t="s">
        <v>145</v>
      </c>
      <c r="B93" s="2" t="s">
        <v>146</v>
      </c>
    </row>
    <row r="94" spans="1:9" x14ac:dyDescent="0.25">
      <c r="A94" s="2" t="s">
        <v>147</v>
      </c>
      <c r="B94" s="2" t="s">
        <v>148</v>
      </c>
      <c r="C94" s="14">
        <v>-11340</v>
      </c>
      <c r="G94" s="14">
        <v>-11340</v>
      </c>
    </row>
    <row r="95" spans="1:9" x14ac:dyDescent="0.25">
      <c r="A95" s="2" t="s">
        <v>149</v>
      </c>
      <c r="B95" s="2" t="s">
        <v>150</v>
      </c>
    </row>
    <row r="96" spans="1:9" x14ac:dyDescent="0.25">
      <c r="A96" s="2" t="s">
        <v>151</v>
      </c>
      <c r="B96" s="2" t="s">
        <v>152</v>
      </c>
    </row>
    <row r="97" spans="1:9" x14ac:dyDescent="0.25">
      <c r="A97" s="2" t="s">
        <v>153</v>
      </c>
      <c r="B97" s="2" t="s">
        <v>154</v>
      </c>
    </row>
    <row r="98" spans="1:9" x14ac:dyDescent="0.25">
      <c r="A98" s="2" t="s">
        <v>155</v>
      </c>
      <c r="B98" s="2" t="s">
        <v>156</v>
      </c>
    </row>
    <row r="99" spans="1:9" x14ac:dyDescent="0.25">
      <c r="A99" s="2" t="s">
        <v>157</v>
      </c>
      <c r="B99" s="2" t="s">
        <v>158</v>
      </c>
    </row>
    <row r="100" spans="1:9" x14ac:dyDescent="0.25">
      <c r="A100" s="2" t="s">
        <v>159</v>
      </c>
      <c r="B100" s="2" t="s">
        <v>160</v>
      </c>
    </row>
    <row r="101" spans="1:9" x14ac:dyDescent="0.25">
      <c r="A101" s="2" t="s">
        <v>161</v>
      </c>
      <c r="B101" s="2" t="s">
        <v>162</v>
      </c>
    </row>
    <row r="102" spans="1:9" x14ac:dyDescent="0.25">
      <c r="A102" s="2" t="s">
        <v>163</v>
      </c>
      <c r="B102" s="2" t="s">
        <v>164</v>
      </c>
    </row>
    <row r="103" spans="1:9" x14ac:dyDescent="0.25">
      <c r="A103" s="2" t="s">
        <v>165</v>
      </c>
      <c r="B103" s="2" t="s">
        <v>166</v>
      </c>
    </row>
    <row r="104" spans="1:9" x14ac:dyDescent="0.25">
      <c r="A104" s="2" t="s">
        <v>167</v>
      </c>
      <c r="B104" s="2" t="s">
        <v>168</v>
      </c>
    </row>
    <row r="105" spans="1:9" x14ac:dyDescent="0.25">
      <c r="A105" s="2" t="s">
        <v>169</v>
      </c>
      <c r="B105" s="2" t="s">
        <v>170</v>
      </c>
    </row>
    <row r="106" spans="1:9" x14ac:dyDescent="0.25">
      <c r="A106" s="3" t="s">
        <v>171</v>
      </c>
      <c r="B106" s="3" t="s">
        <v>172</v>
      </c>
      <c r="C106" s="15">
        <v>-3300688.7</v>
      </c>
      <c r="D106" s="15">
        <v>-5527986.3700000001</v>
      </c>
      <c r="E106" s="4">
        <v>-40.29</v>
      </c>
      <c r="F106" s="4">
        <v>59.71</v>
      </c>
      <c r="G106" s="15">
        <v>2227297.67</v>
      </c>
      <c r="I106" s="15">
        <f>SUM(I84:I105)</f>
        <v>-5572648.8799999999</v>
      </c>
    </row>
    <row r="107" spans="1:9" x14ac:dyDescent="0.25">
      <c r="A107" s="2" t="s">
        <v>12</v>
      </c>
      <c r="B107" s="2" t="s">
        <v>12</v>
      </c>
    </row>
    <row r="108" spans="1:9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</row>
    <row r="109" spans="1:9" x14ac:dyDescent="0.25">
      <c r="A109" s="2" t="s">
        <v>175</v>
      </c>
      <c r="B109" s="2" t="s">
        <v>174</v>
      </c>
      <c r="C109" s="14">
        <v>-547990.26</v>
      </c>
      <c r="D109" s="14">
        <v>-1156033.44</v>
      </c>
      <c r="E109">
        <v>-52.6</v>
      </c>
      <c r="F109">
        <v>47.4</v>
      </c>
      <c r="G109" s="14">
        <v>608043.18000000005</v>
      </c>
      <c r="I109" s="14">
        <v>0</v>
      </c>
    </row>
    <row r="110" spans="1:9" x14ac:dyDescent="0.25">
      <c r="A110" s="2" t="s">
        <v>176</v>
      </c>
      <c r="B110" s="2" t="s">
        <v>177</v>
      </c>
    </row>
    <row r="111" spans="1:9" x14ac:dyDescent="0.25">
      <c r="A111" s="3" t="s">
        <v>178</v>
      </c>
      <c r="B111" s="3" t="s">
        <v>179</v>
      </c>
      <c r="C111" s="15">
        <v>-547990.26</v>
      </c>
      <c r="D111" s="15">
        <v>-1156033.44</v>
      </c>
      <c r="E111" s="4">
        <v>-52.6</v>
      </c>
      <c r="F111" s="4">
        <v>47.4</v>
      </c>
      <c r="G111" s="15">
        <v>608043.18000000005</v>
      </c>
      <c r="I111" s="15">
        <f>I110+I109</f>
        <v>0</v>
      </c>
    </row>
    <row r="112" spans="1:9" x14ac:dyDescent="0.25">
      <c r="A112" s="2" t="s">
        <v>12</v>
      </c>
      <c r="B112" s="2" t="s">
        <v>12</v>
      </c>
    </row>
    <row r="113" spans="1:9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</row>
    <row r="114" spans="1:9" x14ac:dyDescent="0.25">
      <c r="A114" s="2" t="s">
        <v>182</v>
      </c>
      <c r="B114" s="2" t="s">
        <v>183</v>
      </c>
      <c r="C114" s="14">
        <v>196470.7</v>
      </c>
      <c r="D114" s="14">
        <v>28252</v>
      </c>
      <c r="E114">
        <v>595.41999999999996</v>
      </c>
      <c r="F114">
        <v>695.42</v>
      </c>
      <c r="G114" s="14">
        <v>168218.7</v>
      </c>
      <c r="I114" s="14">
        <v>209913.72</v>
      </c>
    </row>
    <row r="115" spans="1:9" x14ac:dyDescent="0.25">
      <c r="A115" s="2" t="s">
        <v>184</v>
      </c>
      <c r="B115" s="2" t="s">
        <v>185</v>
      </c>
      <c r="C115" s="14">
        <v>202404.48000000001</v>
      </c>
      <c r="G115" s="14">
        <v>202404.48000000001</v>
      </c>
    </row>
    <row r="116" spans="1:9" x14ac:dyDescent="0.25">
      <c r="A116" s="2" t="s">
        <v>186</v>
      </c>
      <c r="B116" s="2" t="s">
        <v>187</v>
      </c>
    </row>
    <row r="117" spans="1:9" x14ac:dyDescent="0.25">
      <c r="A117" s="2" t="s">
        <v>188</v>
      </c>
      <c r="B117" s="2" t="s">
        <v>189</v>
      </c>
      <c r="D117" s="14">
        <v>98317.72</v>
      </c>
      <c r="E117">
        <v>-100</v>
      </c>
      <c r="G117" s="14">
        <v>-98317.72</v>
      </c>
    </row>
    <row r="118" spans="1:9" x14ac:dyDescent="0.25">
      <c r="A118" s="2" t="s">
        <v>190</v>
      </c>
      <c r="B118" s="2" t="s">
        <v>191</v>
      </c>
    </row>
    <row r="119" spans="1:9" x14ac:dyDescent="0.25">
      <c r="A119" s="2" t="s">
        <v>192</v>
      </c>
      <c r="B119" s="2" t="s">
        <v>193</v>
      </c>
    </row>
    <row r="120" spans="1:9" x14ac:dyDescent="0.25">
      <c r="A120" s="2" t="s">
        <v>194</v>
      </c>
      <c r="B120" s="2" t="s">
        <v>195</v>
      </c>
    </row>
    <row r="121" spans="1:9" x14ac:dyDescent="0.25">
      <c r="A121" s="3" t="s">
        <v>196</v>
      </c>
      <c r="B121" s="3" t="s">
        <v>197</v>
      </c>
      <c r="C121" s="15">
        <v>398875.18</v>
      </c>
      <c r="D121" s="15">
        <v>126569.72</v>
      </c>
      <c r="E121" s="4">
        <v>215.14</v>
      </c>
      <c r="F121" s="4">
        <v>315.14</v>
      </c>
      <c r="G121" s="15">
        <v>272305.46000000002</v>
      </c>
      <c r="I121" s="15">
        <f>SUM(I114:I120)</f>
        <v>209913.72</v>
      </c>
    </row>
    <row r="122" spans="1:9" x14ac:dyDescent="0.25">
      <c r="A122" s="3" t="s">
        <v>198</v>
      </c>
      <c r="B122" s="3" t="s">
        <v>199</v>
      </c>
      <c r="C122" s="15">
        <v>-3449803.78</v>
      </c>
      <c r="D122" s="15">
        <v>-6557450.0899999999</v>
      </c>
      <c r="E122" s="4">
        <v>-47.39</v>
      </c>
      <c r="F122" s="4">
        <v>52.61</v>
      </c>
      <c r="G122" s="15">
        <v>3107646.31</v>
      </c>
      <c r="I122" s="15">
        <f>I121+I111+I106</f>
        <v>-5362735.16</v>
      </c>
    </row>
    <row r="123" spans="1:9" x14ac:dyDescent="0.25">
      <c r="A123" s="2" t="s">
        <v>12</v>
      </c>
      <c r="B123" s="2" t="s">
        <v>12</v>
      </c>
    </row>
    <row r="124" spans="1:9" x14ac:dyDescent="0.25">
      <c r="A124" s="3" t="s">
        <v>200</v>
      </c>
      <c r="B124" s="3" t="s">
        <v>201</v>
      </c>
      <c r="C124" s="15">
        <v>-3489620.78</v>
      </c>
      <c r="D124" s="15">
        <v>-6645899.0300000003</v>
      </c>
      <c r="E124" s="4">
        <v>-47.49</v>
      </c>
      <c r="F124" s="4">
        <v>52.51</v>
      </c>
      <c r="G124" s="15">
        <v>3156278.25</v>
      </c>
      <c r="I124" s="15">
        <f>I122+I81+I76+I69</f>
        <v>-5439781.5600000005</v>
      </c>
    </row>
    <row r="125" spans="1:9" x14ac:dyDescent="0.25">
      <c r="A125" s="2" t="s">
        <v>12</v>
      </c>
      <c r="B125" s="2" t="s">
        <v>12</v>
      </c>
    </row>
    <row r="126" spans="1:9" x14ac:dyDescent="0.25">
      <c r="A126" s="3" t="s">
        <v>202</v>
      </c>
      <c r="B126" s="3" t="s">
        <v>203</v>
      </c>
      <c r="C126" s="15">
        <v>1213190.82</v>
      </c>
      <c r="D126" s="15">
        <v>3012362.53</v>
      </c>
      <c r="E126" s="4">
        <v>-59.73</v>
      </c>
      <c r="F126" s="4">
        <v>40.270000000000003</v>
      </c>
      <c r="G126" s="15">
        <v>-1799171.71</v>
      </c>
      <c r="I126" s="15">
        <f>I64+I124</f>
        <v>3298620.4399999995</v>
      </c>
    </row>
    <row r="127" spans="1:9" x14ac:dyDescent="0.25">
      <c r="A127" s="2" t="s">
        <v>12</v>
      </c>
      <c r="B127" s="2" t="s">
        <v>12</v>
      </c>
    </row>
    <row r="128" spans="1:9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</row>
    <row r="129" spans="1:9" x14ac:dyDescent="0.25">
      <c r="A129" s="2" t="s">
        <v>206</v>
      </c>
      <c r="B129" s="2" t="s">
        <v>207</v>
      </c>
      <c r="C129" s="14">
        <v>14535</v>
      </c>
      <c r="D129" s="14">
        <v>103628.34</v>
      </c>
      <c r="E129">
        <v>-85.97</v>
      </c>
      <c r="F129">
        <v>14.03</v>
      </c>
      <c r="G129" s="14">
        <v>-89093.34</v>
      </c>
      <c r="I129" s="14">
        <v>32000</v>
      </c>
    </row>
    <row r="130" spans="1:9" x14ac:dyDescent="0.25">
      <c r="A130" s="2" t="s">
        <v>208</v>
      </c>
      <c r="B130" s="2" t="s">
        <v>209</v>
      </c>
      <c r="D130" s="14">
        <v>2869.42</v>
      </c>
      <c r="E130">
        <v>-100</v>
      </c>
      <c r="G130" s="14">
        <v>-2869.42</v>
      </c>
    </row>
    <row r="131" spans="1:9" x14ac:dyDescent="0.25">
      <c r="A131" s="2" t="s">
        <v>210</v>
      </c>
      <c r="B131" s="2" t="s">
        <v>211</v>
      </c>
    </row>
    <row r="132" spans="1:9" x14ac:dyDescent="0.25">
      <c r="A132" s="2" t="s">
        <v>212</v>
      </c>
      <c r="B132" s="2" t="s">
        <v>213</v>
      </c>
    </row>
    <row r="133" spans="1:9" x14ac:dyDescent="0.25">
      <c r="A133" s="2" t="s">
        <v>214</v>
      </c>
      <c r="B133" s="2" t="s">
        <v>215</v>
      </c>
    </row>
    <row r="134" spans="1:9" x14ac:dyDescent="0.25">
      <c r="A134" s="2" t="s">
        <v>216</v>
      </c>
      <c r="B134" s="2" t="s">
        <v>217</v>
      </c>
    </row>
    <row r="135" spans="1:9" x14ac:dyDescent="0.25">
      <c r="A135" s="3" t="s">
        <v>218</v>
      </c>
      <c r="B135" s="3" t="s">
        <v>219</v>
      </c>
      <c r="C135" s="15">
        <v>14535</v>
      </c>
      <c r="D135" s="15">
        <v>106497.76</v>
      </c>
      <c r="E135" s="4">
        <v>-86.35</v>
      </c>
      <c r="F135" s="4">
        <v>13.65</v>
      </c>
      <c r="G135" s="15">
        <v>-91962.76</v>
      </c>
      <c r="I135" s="15">
        <f>SUM(I129:I134)</f>
        <v>32000</v>
      </c>
    </row>
    <row r="136" spans="1:9" x14ac:dyDescent="0.25">
      <c r="A136" s="2" t="s">
        <v>12</v>
      </c>
      <c r="B136" s="2" t="s">
        <v>12</v>
      </c>
    </row>
    <row r="137" spans="1:9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</row>
    <row r="138" spans="1:9" x14ac:dyDescent="0.25">
      <c r="A138" s="2" t="s">
        <v>222</v>
      </c>
      <c r="B138" s="2" t="s">
        <v>223</v>
      </c>
    </row>
    <row r="139" spans="1:9" x14ac:dyDescent="0.25">
      <c r="A139" s="2" t="s">
        <v>224</v>
      </c>
      <c r="B139" s="2" t="s">
        <v>225</v>
      </c>
    </row>
    <row r="140" spans="1:9" x14ac:dyDescent="0.25">
      <c r="A140" s="2" t="s">
        <v>226</v>
      </c>
      <c r="B140" s="2" t="s">
        <v>227</v>
      </c>
      <c r="C140" s="14">
        <v>-666788.69999999995</v>
      </c>
      <c r="D140" s="14">
        <v>-2647333.7799999998</v>
      </c>
      <c r="E140">
        <v>-74.81</v>
      </c>
      <c r="F140">
        <v>25.19</v>
      </c>
      <c r="G140" s="14">
        <v>1980545.08</v>
      </c>
      <c r="I140" s="14">
        <f>(Administration!I139+Laks!I140)*66/-440</f>
        <v>-2591907.9635999999</v>
      </c>
    </row>
    <row r="141" spans="1:9" x14ac:dyDescent="0.25">
      <c r="A141" s="2" t="s">
        <v>228</v>
      </c>
      <c r="B141" s="2" t="s">
        <v>229</v>
      </c>
    </row>
    <row r="142" spans="1:9" x14ac:dyDescent="0.25">
      <c r="A142" s="2" t="s">
        <v>230</v>
      </c>
      <c r="B142" s="2" t="s">
        <v>231</v>
      </c>
      <c r="C142" s="14">
        <v>-500</v>
      </c>
      <c r="G142" s="14">
        <v>-500</v>
      </c>
    </row>
    <row r="143" spans="1:9" x14ac:dyDescent="0.25">
      <c r="A143" s="2" t="s">
        <v>232</v>
      </c>
      <c r="B143" s="2" t="s">
        <v>233</v>
      </c>
      <c r="C143" s="14">
        <v>-3057.51</v>
      </c>
      <c r="D143" s="14">
        <v>-25225</v>
      </c>
      <c r="E143">
        <v>-87.88</v>
      </c>
      <c r="F143">
        <v>12.12</v>
      </c>
      <c r="G143" s="14">
        <v>22167.49</v>
      </c>
      <c r="I143" s="14">
        <v>-7500</v>
      </c>
    </row>
    <row r="144" spans="1:9" x14ac:dyDescent="0.25">
      <c r="A144" s="2" t="s">
        <v>234</v>
      </c>
      <c r="B144" s="2" t="s">
        <v>235</v>
      </c>
      <c r="D144" s="14">
        <v>-5045</v>
      </c>
      <c r="E144">
        <v>-100</v>
      </c>
      <c r="G144" s="14">
        <v>5045</v>
      </c>
      <c r="I144" s="14">
        <v>0</v>
      </c>
    </row>
    <row r="145" spans="1:9" x14ac:dyDescent="0.25">
      <c r="A145" s="2" t="s">
        <v>236</v>
      </c>
      <c r="B145" s="2" t="s">
        <v>237</v>
      </c>
      <c r="D145" s="14">
        <v>-5045</v>
      </c>
      <c r="E145">
        <v>-100</v>
      </c>
      <c r="G145" s="14">
        <v>5045</v>
      </c>
      <c r="I145" s="14">
        <v>0</v>
      </c>
    </row>
    <row r="146" spans="1:9" x14ac:dyDescent="0.25">
      <c r="A146" s="2" t="s">
        <v>238</v>
      </c>
      <c r="B146" s="2" t="s">
        <v>239</v>
      </c>
      <c r="D146" s="14">
        <v>-12108</v>
      </c>
      <c r="E146">
        <v>-100</v>
      </c>
      <c r="G146" s="14">
        <v>12108</v>
      </c>
      <c r="I146" s="14">
        <v>-2500</v>
      </c>
    </row>
    <row r="147" spans="1:9" x14ac:dyDescent="0.25">
      <c r="A147" s="2" t="s">
        <v>240</v>
      </c>
      <c r="B147" s="2" t="s">
        <v>241</v>
      </c>
      <c r="C147" s="14">
        <v>-7159.61</v>
      </c>
      <c r="G147" s="14">
        <v>-7159.61</v>
      </c>
    </row>
    <row r="148" spans="1:9" x14ac:dyDescent="0.25">
      <c r="A148" s="2" t="s">
        <v>242</v>
      </c>
      <c r="B148" s="2" t="s">
        <v>243</v>
      </c>
    </row>
    <row r="149" spans="1:9" x14ac:dyDescent="0.25">
      <c r="A149" s="2" t="s">
        <v>244</v>
      </c>
      <c r="B149" s="2" t="s">
        <v>245</v>
      </c>
      <c r="I149" s="14">
        <v>-20000</v>
      </c>
    </row>
    <row r="150" spans="1:9" x14ac:dyDescent="0.25">
      <c r="A150" s="2" t="s">
        <v>246</v>
      </c>
      <c r="B150" s="2" t="s">
        <v>247</v>
      </c>
      <c r="C150" s="14">
        <v>-21048.05</v>
      </c>
      <c r="G150" s="14">
        <v>-21048.05</v>
      </c>
    </row>
    <row r="151" spans="1:9" x14ac:dyDescent="0.25">
      <c r="A151" s="2" t="s">
        <v>248</v>
      </c>
      <c r="B151" s="2" t="s">
        <v>249</v>
      </c>
      <c r="C151" s="14">
        <v>-35371.730000000003</v>
      </c>
      <c r="G151" s="14">
        <v>-35371.730000000003</v>
      </c>
      <c r="I151" s="14">
        <v>-100000</v>
      </c>
    </row>
    <row r="152" spans="1:9" x14ac:dyDescent="0.25">
      <c r="A152" s="2" t="s">
        <v>250</v>
      </c>
      <c r="B152" s="2" t="s">
        <v>251</v>
      </c>
    </row>
    <row r="153" spans="1:9" x14ac:dyDescent="0.25">
      <c r="A153" s="2" t="s">
        <v>252</v>
      </c>
      <c r="B153" s="2" t="s">
        <v>253</v>
      </c>
      <c r="C153" s="14">
        <v>-27969.27</v>
      </c>
      <c r="D153" s="14">
        <v>-72538.240000000005</v>
      </c>
      <c r="E153">
        <v>-61.44</v>
      </c>
      <c r="F153">
        <v>38.56</v>
      </c>
      <c r="G153" s="14">
        <v>44568.97</v>
      </c>
      <c r="I153" s="14">
        <f>-22000*2</f>
        <v>-44000</v>
      </c>
    </row>
    <row r="154" spans="1:9" x14ac:dyDescent="0.25">
      <c r="A154" s="2" t="s">
        <v>254</v>
      </c>
      <c r="B154" s="2" t="s">
        <v>255</v>
      </c>
    </row>
    <row r="155" spans="1:9" x14ac:dyDescent="0.25">
      <c r="A155" s="2" t="s">
        <v>256</v>
      </c>
      <c r="B155" s="2" t="s">
        <v>257</v>
      </c>
      <c r="D155" s="14">
        <v>-8072</v>
      </c>
      <c r="E155">
        <v>-100</v>
      </c>
      <c r="G155" s="14">
        <v>8072</v>
      </c>
      <c r="I155" s="14">
        <f>66*-100</f>
        <v>-6600</v>
      </c>
    </row>
    <row r="156" spans="1:9" x14ac:dyDescent="0.25">
      <c r="A156" s="2" t="s">
        <v>258</v>
      </c>
      <c r="B156" s="2" t="s">
        <v>259</v>
      </c>
    </row>
    <row r="157" spans="1:9" x14ac:dyDescent="0.25">
      <c r="A157" s="2" t="s">
        <v>260</v>
      </c>
      <c r="B157" s="2" t="s">
        <v>261</v>
      </c>
    </row>
    <row r="158" spans="1:9" x14ac:dyDescent="0.25">
      <c r="A158" s="2" t="s">
        <v>262</v>
      </c>
      <c r="B158" s="2" t="s">
        <v>263</v>
      </c>
      <c r="D158" s="14">
        <v>-1808.89</v>
      </c>
      <c r="E158">
        <v>-100</v>
      </c>
      <c r="G158" s="14">
        <v>1808.89</v>
      </c>
    </row>
    <row r="159" spans="1:9" x14ac:dyDescent="0.25">
      <c r="A159" s="2" t="s">
        <v>264</v>
      </c>
      <c r="B159" s="2" t="s">
        <v>265</v>
      </c>
    </row>
    <row r="160" spans="1:9" x14ac:dyDescent="0.25">
      <c r="A160" s="2" t="s">
        <v>266</v>
      </c>
      <c r="B160" s="2" t="s">
        <v>267</v>
      </c>
    </row>
    <row r="161" spans="1:9" x14ac:dyDescent="0.25">
      <c r="A161" s="2" t="s">
        <v>268</v>
      </c>
      <c r="B161" s="2" t="s">
        <v>269</v>
      </c>
      <c r="C161" s="14">
        <v>-176178.91</v>
      </c>
      <c r="D161" s="14">
        <v>-380393</v>
      </c>
      <c r="E161">
        <v>-53.69</v>
      </c>
      <c r="F161">
        <v>46.31</v>
      </c>
      <c r="G161" s="14">
        <v>204214.09</v>
      </c>
      <c r="I161" s="14">
        <v>-400000</v>
      </c>
    </row>
    <row r="162" spans="1:9" x14ac:dyDescent="0.25">
      <c r="A162" s="2" t="s">
        <v>270</v>
      </c>
      <c r="B162" s="2" t="s">
        <v>271</v>
      </c>
      <c r="C162" s="14">
        <v>-106476.91</v>
      </c>
      <c r="D162" s="14">
        <v>-201800</v>
      </c>
      <c r="E162">
        <v>-47.24</v>
      </c>
      <c r="F162">
        <v>52.76</v>
      </c>
      <c r="G162" s="14">
        <v>95323.09</v>
      </c>
      <c r="I162" s="14">
        <v>-270000</v>
      </c>
    </row>
    <row r="163" spans="1:9" x14ac:dyDescent="0.25">
      <c r="A163" s="2" t="s">
        <v>272</v>
      </c>
      <c r="B163" s="2" t="s">
        <v>273</v>
      </c>
      <c r="C163" s="14">
        <v>9099.81</v>
      </c>
      <c r="D163" s="14">
        <v>-28252</v>
      </c>
      <c r="E163">
        <v>-132.21</v>
      </c>
      <c r="F163">
        <v>-32.21</v>
      </c>
      <c r="G163" s="14">
        <v>37351.81</v>
      </c>
      <c r="I163" s="14">
        <f>(-2100-550)*4</f>
        <v>-10600</v>
      </c>
    </row>
    <row r="164" spans="1:9" x14ac:dyDescent="0.25">
      <c r="A164" s="2" t="s">
        <v>274</v>
      </c>
      <c r="B164" s="2" t="s">
        <v>275</v>
      </c>
      <c r="C164" s="14">
        <v>-1729.17</v>
      </c>
      <c r="D164" s="14">
        <v>-15135</v>
      </c>
      <c r="E164">
        <v>-88.58</v>
      </c>
      <c r="F164">
        <v>11.42</v>
      </c>
      <c r="G164" s="14">
        <v>13405.83</v>
      </c>
      <c r="I164" s="14">
        <v>-3000</v>
      </c>
    </row>
    <row r="165" spans="1:9" x14ac:dyDescent="0.25">
      <c r="A165" s="2" t="s">
        <v>276</v>
      </c>
      <c r="B165" s="2" t="s">
        <v>277</v>
      </c>
      <c r="C165" s="14">
        <v>-4184.6899999999996</v>
      </c>
      <c r="D165" s="14">
        <v>-35315</v>
      </c>
      <c r="E165">
        <v>-88.15</v>
      </c>
      <c r="F165">
        <v>11.85</v>
      </c>
      <c r="G165" s="14">
        <v>31130.31</v>
      </c>
      <c r="I165" s="14">
        <v>-10000</v>
      </c>
    </row>
    <row r="166" spans="1:9" x14ac:dyDescent="0.25">
      <c r="A166" s="2" t="s">
        <v>278</v>
      </c>
      <c r="B166" s="2" t="s">
        <v>279</v>
      </c>
    </row>
    <row r="167" spans="1:9" x14ac:dyDescent="0.25">
      <c r="A167" s="2" t="s">
        <v>280</v>
      </c>
      <c r="B167" s="2" t="s">
        <v>281</v>
      </c>
      <c r="C167" s="14">
        <v>-7080.94</v>
      </c>
      <c r="G167" s="14">
        <v>-7080.94</v>
      </c>
      <c r="I167" s="14">
        <v>-10000</v>
      </c>
    </row>
    <row r="168" spans="1:9" x14ac:dyDescent="0.25">
      <c r="A168" s="2" t="s">
        <v>282</v>
      </c>
      <c r="B168" s="2" t="s">
        <v>283</v>
      </c>
      <c r="C168" s="14">
        <v>-14329.47</v>
      </c>
      <c r="G168" s="14">
        <v>-14329.47</v>
      </c>
      <c r="I168" s="14">
        <f>-290.4*12-499-10000-5400</f>
        <v>-19383.8</v>
      </c>
    </row>
    <row r="169" spans="1:9" x14ac:dyDescent="0.25">
      <c r="A169" s="2" t="s">
        <v>284</v>
      </c>
      <c r="B169" s="2" t="s">
        <v>285</v>
      </c>
    </row>
    <row r="170" spans="1:9" x14ac:dyDescent="0.25">
      <c r="A170" s="2" t="s">
        <v>286</v>
      </c>
      <c r="B170" s="2" t="s">
        <v>287</v>
      </c>
    </row>
    <row r="171" spans="1:9" x14ac:dyDescent="0.25">
      <c r="A171" s="2" t="s">
        <v>288</v>
      </c>
      <c r="B171" s="2" t="s">
        <v>289</v>
      </c>
      <c r="D171" s="14">
        <v>-4435.0600000000004</v>
      </c>
      <c r="E171">
        <v>-100</v>
      </c>
      <c r="G171" s="14">
        <v>4435.0600000000004</v>
      </c>
    </row>
    <row r="172" spans="1:9" x14ac:dyDescent="0.25">
      <c r="A172" s="2" t="s">
        <v>290</v>
      </c>
      <c r="B172" s="2" t="s">
        <v>291</v>
      </c>
      <c r="D172" s="14">
        <v>-16144</v>
      </c>
      <c r="E172">
        <v>-100</v>
      </c>
      <c r="G172" s="14">
        <v>16144</v>
      </c>
      <c r="I172" s="14">
        <v>-2500</v>
      </c>
    </row>
    <row r="173" spans="1:9" x14ac:dyDescent="0.25">
      <c r="A173" s="2" t="s">
        <v>292</v>
      </c>
      <c r="B173" s="2" t="s">
        <v>293</v>
      </c>
      <c r="C173" s="14">
        <v>-2410.5</v>
      </c>
      <c r="G173" s="14">
        <v>-2410.5</v>
      </c>
      <c r="I173" s="14">
        <f>700*-4</f>
        <v>-2800</v>
      </c>
    </row>
    <row r="174" spans="1:9" x14ac:dyDescent="0.25">
      <c r="A174" s="2" t="s">
        <v>294</v>
      </c>
      <c r="B174" s="2" t="s">
        <v>295</v>
      </c>
    </row>
    <row r="175" spans="1:9" x14ac:dyDescent="0.25">
      <c r="A175" s="2" t="s">
        <v>296</v>
      </c>
      <c r="B175" s="2" t="s">
        <v>297</v>
      </c>
      <c r="C175" s="14">
        <v>-3292</v>
      </c>
      <c r="D175" s="14">
        <v>-3027</v>
      </c>
      <c r="E175">
        <v>8.75</v>
      </c>
      <c r="F175">
        <v>108.75</v>
      </c>
      <c r="G175" s="14">
        <v>-265</v>
      </c>
      <c r="I175" s="14">
        <v>-2500</v>
      </c>
    </row>
    <row r="176" spans="1:9" x14ac:dyDescent="0.25">
      <c r="A176" s="2" t="s">
        <v>298</v>
      </c>
      <c r="B176" s="2" t="s">
        <v>299</v>
      </c>
      <c r="C176" s="14">
        <v>-120859.95</v>
      </c>
      <c r="D176" s="14">
        <v>-131170</v>
      </c>
      <c r="E176">
        <v>-7.86</v>
      </c>
      <c r="F176">
        <v>92.14</v>
      </c>
      <c r="G176" s="14">
        <v>10310.049999999999</v>
      </c>
      <c r="I176" s="14">
        <f>-13750*12-2500*12</f>
        <v>-195000</v>
      </c>
    </row>
    <row r="177" spans="1:9" x14ac:dyDescent="0.25">
      <c r="A177" s="2" t="s">
        <v>300</v>
      </c>
      <c r="B177" s="2" t="s">
        <v>301</v>
      </c>
      <c r="C177" s="14">
        <v>-3518.25</v>
      </c>
      <c r="D177" s="14">
        <v>-3323.65</v>
      </c>
      <c r="E177">
        <v>5.86</v>
      </c>
      <c r="F177">
        <v>105.86</v>
      </c>
      <c r="G177" s="14">
        <v>-194.6</v>
      </c>
      <c r="I177" s="14">
        <v>-9000</v>
      </c>
    </row>
    <row r="178" spans="1:9" x14ac:dyDescent="0.25">
      <c r="A178" s="2" t="s">
        <v>302</v>
      </c>
      <c r="B178" s="2" t="s">
        <v>303</v>
      </c>
      <c r="C178" s="14">
        <v>-6557</v>
      </c>
      <c r="D178" s="14">
        <v>-18162</v>
      </c>
      <c r="E178">
        <v>-63.9</v>
      </c>
      <c r="F178">
        <v>36.1</v>
      </c>
      <c r="G178" s="14">
        <v>11605</v>
      </c>
      <c r="I178" s="14">
        <f>-66*50</f>
        <v>-3300</v>
      </c>
    </row>
    <row r="179" spans="1:9" x14ac:dyDescent="0.25">
      <c r="A179" s="2" t="s">
        <v>304</v>
      </c>
      <c r="B179" s="2" t="s">
        <v>305</v>
      </c>
      <c r="D179" s="14">
        <v>-10090</v>
      </c>
      <c r="E179">
        <v>-100</v>
      </c>
      <c r="G179" s="14">
        <v>10090</v>
      </c>
    </row>
    <row r="180" spans="1:9" x14ac:dyDescent="0.25">
      <c r="A180" s="2" t="s">
        <v>306</v>
      </c>
      <c r="B180" s="2" t="s">
        <v>307</v>
      </c>
      <c r="D180" s="14">
        <v>-30270</v>
      </c>
      <c r="E180">
        <v>-100</v>
      </c>
      <c r="G180" s="14">
        <v>30270</v>
      </c>
      <c r="I180" s="14">
        <v>-40000</v>
      </c>
    </row>
    <row r="181" spans="1:9" x14ac:dyDescent="0.25">
      <c r="A181" s="2" t="s">
        <v>308</v>
      </c>
      <c r="B181" s="2" t="s">
        <v>309</v>
      </c>
      <c r="C181" s="14">
        <v>-1800</v>
      </c>
      <c r="D181" s="14">
        <v>-15135</v>
      </c>
      <c r="E181">
        <v>-88.11</v>
      </c>
      <c r="F181">
        <v>11.89</v>
      </c>
      <c r="G181" s="14">
        <v>13335</v>
      </c>
      <c r="I181" s="14">
        <f>-15135</f>
        <v>-15135</v>
      </c>
    </row>
    <row r="182" spans="1:9" x14ac:dyDescent="0.25">
      <c r="A182" s="2" t="s">
        <v>310</v>
      </c>
      <c r="B182" s="2" t="s">
        <v>311</v>
      </c>
    </row>
    <row r="183" spans="1:9" x14ac:dyDescent="0.25">
      <c r="A183" s="2" t="s">
        <v>312</v>
      </c>
      <c r="B183" s="2" t="s">
        <v>313</v>
      </c>
      <c r="C183" s="14">
        <v>-9935.57</v>
      </c>
      <c r="D183" s="14">
        <v>-52636.18</v>
      </c>
      <c r="E183">
        <v>-81.12</v>
      </c>
      <c r="F183">
        <v>18.88</v>
      </c>
      <c r="G183" s="14">
        <v>42700.61</v>
      </c>
      <c r="I183" s="14">
        <f>66*-500</f>
        <v>-33000</v>
      </c>
    </row>
    <row r="184" spans="1:9" x14ac:dyDescent="0.25">
      <c r="A184" s="2" t="s">
        <v>314</v>
      </c>
      <c r="B184" s="2" t="s">
        <v>315</v>
      </c>
      <c r="C184" s="14">
        <v>-3494.76</v>
      </c>
      <c r="D184" s="14">
        <v>-43891.5</v>
      </c>
      <c r="E184">
        <v>-92.04</v>
      </c>
      <c r="F184">
        <v>7.96</v>
      </c>
      <c r="G184" s="14">
        <v>40396.74</v>
      </c>
    </row>
    <row r="185" spans="1:9" x14ac:dyDescent="0.25">
      <c r="A185" s="2" t="s">
        <v>316</v>
      </c>
      <c r="B185" s="2" t="s">
        <v>317</v>
      </c>
      <c r="C185" s="14">
        <v>-739.5</v>
      </c>
      <c r="D185" s="14">
        <v>-12108</v>
      </c>
      <c r="E185">
        <v>-93.89</v>
      </c>
      <c r="F185">
        <v>6.11</v>
      </c>
      <c r="G185" s="14">
        <v>11368.5</v>
      </c>
      <c r="I185" s="14">
        <v>-2500</v>
      </c>
    </row>
    <row r="186" spans="1:9" x14ac:dyDescent="0.25">
      <c r="A186" s="2" t="s">
        <v>318</v>
      </c>
      <c r="B186" s="2" t="s">
        <v>319</v>
      </c>
      <c r="C186" s="14">
        <v>-14643.26</v>
      </c>
      <c r="D186" s="14">
        <v>-100900</v>
      </c>
      <c r="E186">
        <v>-85.49</v>
      </c>
      <c r="F186">
        <v>14.51</v>
      </c>
      <c r="G186" s="14">
        <v>86256.74</v>
      </c>
      <c r="I186" s="14">
        <v>0</v>
      </c>
    </row>
    <row r="187" spans="1:9" x14ac:dyDescent="0.25">
      <c r="A187" s="2" t="s">
        <v>320</v>
      </c>
      <c r="B187" s="2" t="s">
        <v>321</v>
      </c>
      <c r="C187" s="14">
        <v>-5684.33</v>
      </c>
      <c r="D187" s="14">
        <v>-42108.93</v>
      </c>
      <c r="E187">
        <v>-86.5</v>
      </c>
      <c r="F187">
        <v>13.5</v>
      </c>
      <c r="G187" s="14">
        <v>36424.6</v>
      </c>
      <c r="I187" s="14">
        <f>-66*400</f>
        <v>-26400</v>
      </c>
    </row>
    <row r="188" spans="1:9" x14ac:dyDescent="0.25">
      <c r="A188" s="2" t="s">
        <v>322</v>
      </c>
      <c r="B188" s="2" t="s">
        <v>323</v>
      </c>
      <c r="C188" s="14">
        <v>-166840.63</v>
      </c>
      <c r="D188" s="14">
        <v>-835795.06</v>
      </c>
      <c r="E188">
        <v>-80.040000000000006</v>
      </c>
      <c r="F188">
        <v>19.96</v>
      </c>
      <c r="G188" s="14">
        <v>668954.43000000005</v>
      </c>
      <c r="I188" s="14">
        <f>-275000-75000</f>
        <v>-350000</v>
      </c>
    </row>
    <row r="189" spans="1:9" x14ac:dyDescent="0.25">
      <c r="A189" s="2" t="s">
        <v>324</v>
      </c>
      <c r="B189" s="2" t="s">
        <v>325</v>
      </c>
    </row>
    <row r="190" spans="1:9" x14ac:dyDescent="0.25">
      <c r="A190" s="2" t="s">
        <v>326</v>
      </c>
      <c r="B190" s="2" t="s">
        <v>327</v>
      </c>
    </row>
    <row r="191" spans="1:9" x14ac:dyDescent="0.25">
      <c r="A191" s="2" t="s">
        <v>328</v>
      </c>
      <c r="B191" s="2" t="s">
        <v>329</v>
      </c>
    </row>
    <row r="192" spans="1:9" x14ac:dyDescent="0.25">
      <c r="A192" s="2" t="s">
        <v>330</v>
      </c>
      <c r="B192" s="2" t="s">
        <v>331</v>
      </c>
      <c r="C192" s="14">
        <v>-7977.8</v>
      </c>
      <c r="D192" s="14">
        <v>-40360</v>
      </c>
      <c r="E192">
        <v>-80.23</v>
      </c>
      <c r="F192">
        <v>19.77</v>
      </c>
      <c r="G192" s="14">
        <v>32382.2</v>
      </c>
      <c r="I192" s="14">
        <v>-10000</v>
      </c>
    </row>
    <row r="193" spans="1:9" x14ac:dyDescent="0.25">
      <c r="A193" s="2" t="s">
        <v>332</v>
      </c>
      <c r="B193" s="2" t="s">
        <v>333</v>
      </c>
    </row>
    <row r="194" spans="1:9" x14ac:dyDescent="0.25">
      <c r="A194" s="2" t="s">
        <v>334</v>
      </c>
      <c r="B194" s="2" t="s">
        <v>335</v>
      </c>
    </row>
    <row r="195" spans="1:9" x14ac:dyDescent="0.25">
      <c r="A195" s="2" t="s">
        <v>336</v>
      </c>
      <c r="B195" s="2" t="s">
        <v>337</v>
      </c>
    </row>
    <row r="196" spans="1:9" x14ac:dyDescent="0.25">
      <c r="A196" s="2" t="s">
        <v>338</v>
      </c>
      <c r="B196" s="2" t="s">
        <v>339</v>
      </c>
    </row>
    <row r="197" spans="1:9" x14ac:dyDescent="0.25">
      <c r="A197" s="3" t="s">
        <v>340</v>
      </c>
      <c r="B197" s="3" t="s">
        <v>341</v>
      </c>
      <c r="C197" s="15">
        <v>-1410528.7</v>
      </c>
      <c r="D197" s="15">
        <v>-4797627.29</v>
      </c>
      <c r="E197" s="4">
        <v>-70.599999999999994</v>
      </c>
      <c r="F197" s="4">
        <v>29.4</v>
      </c>
      <c r="G197" s="15">
        <v>3387098.59</v>
      </c>
      <c r="I197" s="15">
        <f>SUM(I138:I196)</f>
        <v>-4187626.7635999997</v>
      </c>
    </row>
    <row r="198" spans="1:9" x14ac:dyDescent="0.25">
      <c r="A198" s="2" t="s">
        <v>12</v>
      </c>
      <c r="B198" s="2" t="s">
        <v>12</v>
      </c>
    </row>
    <row r="199" spans="1:9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</row>
    <row r="200" spans="1:9" x14ac:dyDescent="0.25">
      <c r="A200" s="2" t="s">
        <v>344</v>
      </c>
      <c r="B200" s="2" t="s">
        <v>345</v>
      </c>
    </row>
    <row r="201" spans="1:9" x14ac:dyDescent="0.25">
      <c r="A201" s="2" t="s">
        <v>346</v>
      </c>
      <c r="B201" s="2" t="s">
        <v>347</v>
      </c>
    </row>
    <row r="202" spans="1:9" x14ac:dyDescent="0.25">
      <c r="A202" s="2" t="s">
        <v>348</v>
      </c>
      <c r="B202" s="2" t="s">
        <v>349</v>
      </c>
    </row>
    <row r="203" spans="1:9" x14ac:dyDescent="0.25">
      <c r="A203" s="2" t="s">
        <v>350</v>
      </c>
      <c r="B203" s="2" t="s">
        <v>351</v>
      </c>
    </row>
    <row r="204" spans="1:9" x14ac:dyDescent="0.25">
      <c r="A204" s="2" t="s">
        <v>352</v>
      </c>
      <c r="B204" s="2" t="s">
        <v>353</v>
      </c>
    </row>
    <row r="205" spans="1:9" x14ac:dyDescent="0.25">
      <c r="A205" s="2" t="s">
        <v>354</v>
      </c>
      <c r="B205" s="2" t="s">
        <v>355</v>
      </c>
    </row>
    <row r="206" spans="1:9" x14ac:dyDescent="0.25">
      <c r="A206" s="2" t="s">
        <v>356</v>
      </c>
      <c r="B206" s="2" t="s">
        <v>357</v>
      </c>
    </row>
    <row r="207" spans="1:9" x14ac:dyDescent="0.25">
      <c r="A207" s="2" t="s">
        <v>358</v>
      </c>
      <c r="B207" s="2" t="s">
        <v>359</v>
      </c>
    </row>
    <row r="208" spans="1:9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</row>
    <row r="209" spans="1:9" x14ac:dyDescent="0.25">
      <c r="A209" s="2" t="s">
        <v>12</v>
      </c>
      <c r="B209" s="2" t="s">
        <v>12</v>
      </c>
    </row>
    <row r="210" spans="1:9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</row>
    <row r="211" spans="1:9" x14ac:dyDescent="0.25">
      <c r="A211" s="2" t="s">
        <v>363</v>
      </c>
      <c r="B211" s="2" t="s">
        <v>364</v>
      </c>
    </row>
    <row r="212" spans="1:9" x14ac:dyDescent="0.25">
      <c r="A212" s="2" t="s">
        <v>365</v>
      </c>
      <c r="B212" s="2" t="s">
        <v>366</v>
      </c>
      <c r="C212" s="14">
        <v>-89883.97</v>
      </c>
      <c r="D212" s="14">
        <v>-190000</v>
      </c>
      <c r="E212">
        <v>-52.69</v>
      </c>
      <c r="F212">
        <v>47.31</v>
      </c>
      <c r="G212" s="14">
        <v>100116.03</v>
      </c>
      <c r="I212" s="14">
        <f>(-26000-18000+1800)*4</f>
        <v>-168800</v>
      </c>
    </row>
    <row r="213" spans="1:9" x14ac:dyDescent="0.25">
      <c r="A213" s="2" t="s">
        <v>367</v>
      </c>
      <c r="B213" s="2" t="s">
        <v>368</v>
      </c>
    </row>
    <row r="214" spans="1:9" x14ac:dyDescent="0.25">
      <c r="A214" s="2" t="s">
        <v>369</v>
      </c>
      <c r="B214" s="2" t="s">
        <v>370</v>
      </c>
      <c r="C214" s="14">
        <v>-7570.83</v>
      </c>
      <c r="G214" s="14">
        <v>-7570.83</v>
      </c>
    </row>
    <row r="215" spans="1:9" x14ac:dyDescent="0.25">
      <c r="A215" s="2" t="s">
        <v>371</v>
      </c>
      <c r="B215" s="2" t="s">
        <v>372</v>
      </c>
    </row>
    <row r="216" spans="1:9" x14ac:dyDescent="0.25">
      <c r="A216" s="2" t="s">
        <v>373</v>
      </c>
      <c r="B216" s="2" t="s">
        <v>374</v>
      </c>
    </row>
    <row r="217" spans="1:9" x14ac:dyDescent="0.25">
      <c r="A217" s="2" t="s">
        <v>375</v>
      </c>
      <c r="B217" s="2" t="s">
        <v>376</v>
      </c>
    </row>
    <row r="218" spans="1:9" x14ac:dyDescent="0.25">
      <c r="A218" s="3" t="s">
        <v>377</v>
      </c>
      <c r="B218" s="3" t="s">
        <v>378</v>
      </c>
      <c r="C218" s="15">
        <v>-97454.8</v>
      </c>
      <c r="D218" s="15">
        <v>-190000</v>
      </c>
      <c r="E218" s="4">
        <v>-48.71</v>
      </c>
      <c r="F218" s="4">
        <v>51.29</v>
      </c>
      <c r="G218" s="15">
        <v>92545.2</v>
      </c>
      <c r="I218" s="15">
        <f>SUM(I211:I217)</f>
        <v>-168800</v>
      </c>
    </row>
    <row r="219" spans="1:9" x14ac:dyDescent="0.25">
      <c r="A219" s="2" t="s">
        <v>12</v>
      </c>
      <c r="B219" s="2" t="s">
        <v>12</v>
      </c>
    </row>
    <row r="220" spans="1:9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</row>
    <row r="221" spans="1:9" x14ac:dyDescent="0.25">
      <c r="A221" s="2" t="s">
        <v>381</v>
      </c>
      <c r="B221" s="2" t="s">
        <v>380</v>
      </c>
    </row>
    <row r="222" spans="1:9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</row>
    <row r="223" spans="1:9" x14ac:dyDescent="0.25">
      <c r="A223" s="2" t="s">
        <v>12</v>
      </c>
      <c r="B223" s="2" t="s">
        <v>12</v>
      </c>
    </row>
    <row r="224" spans="1:9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</row>
    <row r="225" spans="1:9" x14ac:dyDescent="0.25">
      <c r="A225" s="2" t="s">
        <v>386</v>
      </c>
      <c r="B225" s="2" t="s">
        <v>385</v>
      </c>
    </row>
    <row r="226" spans="1:9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</row>
    <row r="227" spans="1:9" x14ac:dyDescent="0.25">
      <c r="A227" s="2" t="s">
        <v>12</v>
      </c>
      <c r="B227" s="2" t="s">
        <v>12</v>
      </c>
    </row>
    <row r="228" spans="1:9" ht="15.75" thickBot="1" x14ac:dyDescent="0.3">
      <c r="A228" s="5" t="s">
        <v>389</v>
      </c>
      <c r="B228" s="5" t="s">
        <v>390</v>
      </c>
      <c r="C228" s="16">
        <v>-280257.68</v>
      </c>
      <c r="D228" s="16">
        <v>-1868767</v>
      </c>
      <c r="E228" s="6">
        <v>-85</v>
      </c>
      <c r="F228" s="6">
        <v>15</v>
      </c>
      <c r="G228" s="16">
        <v>1588509.32</v>
      </c>
      <c r="I228" s="16">
        <f>I126+I135+I197+I208+I218+I222+I226</f>
        <v>-1025806.3236000002</v>
      </c>
    </row>
    <row r="229" spans="1:9" ht="15.75" thickTop="1" x14ac:dyDescent="0.25">
      <c r="A229" s="2" t="s">
        <v>12</v>
      </c>
      <c r="B229" s="2" t="s">
        <v>12</v>
      </c>
    </row>
    <row r="230" spans="1:9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</row>
    <row r="231" spans="1:9" x14ac:dyDescent="0.25">
      <c r="A231" s="2" t="s">
        <v>393</v>
      </c>
      <c r="B231" s="2" t="s">
        <v>394</v>
      </c>
    </row>
    <row r="232" spans="1:9" x14ac:dyDescent="0.25">
      <c r="A232" s="2" t="s">
        <v>395</v>
      </c>
      <c r="B232" s="2" t="s">
        <v>396</v>
      </c>
    </row>
    <row r="233" spans="1:9" x14ac:dyDescent="0.25">
      <c r="A233" s="2" t="s">
        <v>397</v>
      </c>
      <c r="B233" s="2" t="s">
        <v>398</v>
      </c>
    </row>
    <row r="234" spans="1:9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</row>
    <row r="235" spans="1:9" x14ac:dyDescent="0.25">
      <c r="A235" s="2" t="s">
        <v>12</v>
      </c>
      <c r="B235" s="2" t="s">
        <v>12</v>
      </c>
    </row>
    <row r="236" spans="1:9" ht="15.75" thickBot="1" x14ac:dyDescent="0.3">
      <c r="A236" s="5" t="s">
        <v>12</v>
      </c>
      <c r="B236" s="5" t="s">
        <v>46</v>
      </c>
      <c r="C236" s="16">
        <v>-280257.68</v>
      </c>
      <c r="D236" s="16">
        <v>-1868767</v>
      </c>
      <c r="E236" s="6">
        <v>-85</v>
      </c>
      <c r="F236" s="6">
        <v>15</v>
      </c>
      <c r="G236" s="16">
        <v>1588509.32</v>
      </c>
      <c r="I236" s="16">
        <f>I228+I234</f>
        <v>-1025806.3236000002</v>
      </c>
    </row>
    <row r="237" spans="1:9" ht="15.75" thickTop="1" x14ac:dyDescent="0.25">
      <c r="A237" s="2" t="s">
        <v>12</v>
      </c>
      <c r="B237" s="2" t="s">
        <v>12</v>
      </c>
    </row>
    <row r="238" spans="1:9" x14ac:dyDescent="0.25">
      <c r="A238" s="2" t="s">
        <v>401</v>
      </c>
      <c r="B238" s="2" t="s">
        <v>402</v>
      </c>
    </row>
    <row r="239" spans="1:9" x14ac:dyDescent="0.25">
      <c r="A239" s="2" t="s">
        <v>403</v>
      </c>
      <c r="B239" s="2" t="s">
        <v>404</v>
      </c>
      <c r="C239" s="14">
        <v>85929.24</v>
      </c>
      <c r="G239" s="14">
        <v>85929.24</v>
      </c>
      <c r="I239" s="14">
        <v>171858.49</v>
      </c>
    </row>
    <row r="240" spans="1:9" x14ac:dyDescent="0.25">
      <c r="A240" s="2" t="s">
        <v>405</v>
      </c>
      <c r="B240" s="2" t="s">
        <v>406</v>
      </c>
      <c r="C240" s="14">
        <v>-201602.28</v>
      </c>
      <c r="D240" s="14">
        <v>-866887.12</v>
      </c>
      <c r="E240">
        <v>-76.739999999999995</v>
      </c>
      <c r="F240">
        <v>23.26</v>
      </c>
      <c r="G240" s="14">
        <v>665284.84</v>
      </c>
      <c r="I240" s="14">
        <v>-354826.81</v>
      </c>
    </row>
    <row r="241" spans="1:9" x14ac:dyDescent="0.25">
      <c r="A241" s="2" t="s">
        <v>407</v>
      </c>
      <c r="B241" s="2" t="s">
        <v>408</v>
      </c>
    </row>
    <row r="242" spans="1:9" x14ac:dyDescent="0.25">
      <c r="A242" s="3" t="s">
        <v>409</v>
      </c>
      <c r="B242" s="3" t="s">
        <v>410</v>
      </c>
      <c r="C242" s="15">
        <v>-115673.04</v>
      </c>
      <c r="D242" s="15">
        <v>-866887.12</v>
      </c>
      <c r="E242" s="4">
        <v>-86.66</v>
      </c>
      <c r="F242" s="4">
        <v>13.34</v>
      </c>
      <c r="G242" s="15">
        <v>751214.07999999996</v>
      </c>
      <c r="I242" s="15">
        <f>SUM(I238:I241)</f>
        <v>-182968.32000000001</v>
      </c>
    </row>
    <row r="243" spans="1:9" x14ac:dyDescent="0.25">
      <c r="A243" s="2" t="s">
        <v>12</v>
      </c>
      <c r="B243" s="2" t="s">
        <v>12</v>
      </c>
    </row>
    <row r="244" spans="1:9" ht="15.75" thickBot="1" x14ac:dyDescent="0.3">
      <c r="A244" s="5" t="s">
        <v>411</v>
      </c>
      <c r="B244" s="5" t="s">
        <v>49</v>
      </c>
      <c r="C244" s="16">
        <v>-395930.72</v>
      </c>
      <c r="D244" s="16">
        <v>-2735654.12</v>
      </c>
      <c r="E244" s="6">
        <v>-85.53</v>
      </c>
      <c r="F244" s="6">
        <v>14.47</v>
      </c>
      <c r="G244" s="16">
        <v>2339723.4</v>
      </c>
      <c r="I244" s="16">
        <f>I236+I242</f>
        <v>-1208774.6436000003</v>
      </c>
    </row>
  </sheetData>
  <sheetProtection algorithmName="SHA-512" hashValue="rg1Rq9z/4he0FAC2djoABc/+2UjO3BGRSKSLqzzzlhfzUw38WboPMAvFtWYkhXCDnnHSSF0WFsVWcVxcW5UO9A==" saltValue="ikV/RLvb6mhkaJ8PEgJ6Ig==" spinCount="100000" sheet="1" objects="1" scenarios="1"/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44"/>
  <sheetViews>
    <sheetView tabSelected="1" topLeftCell="A39" workbookViewId="0">
      <selection activeCell="I7" sqref="I7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3.28515625" style="14" hidden="1" customWidth="1"/>
    <col min="4" max="4" width="14.28515625" style="14" hidden="1" customWidth="1"/>
    <col min="5" max="5" width="10.28515625" hidden="1" customWidth="1"/>
    <col min="6" max="6" width="19.42578125" hidden="1" customWidth="1"/>
    <col min="7" max="7" width="12.140625" style="14" hidden="1" customWidth="1"/>
    <col min="8" max="8" width="2.7109375" hidden="1" customWidth="1"/>
    <col min="9" max="9" width="14.2851562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419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9989944</v>
      </c>
      <c r="D10" s="14">
        <v>10352085</v>
      </c>
      <c r="E10">
        <v>-3.5</v>
      </c>
      <c r="F10">
        <v>96.5</v>
      </c>
      <c r="G10" s="14">
        <v>-362141</v>
      </c>
      <c r="I10" s="14">
        <f>I45</f>
        <v>11076200</v>
      </c>
    </row>
    <row r="11" spans="1:9" x14ac:dyDescent="0.25">
      <c r="A11" s="2" t="s">
        <v>16</v>
      </c>
      <c r="B11" s="2" t="s">
        <v>17</v>
      </c>
      <c r="I11" s="14">
        <f>I58</f>
        <v>0</v>
      </c>
    </row>
    <row r="12" spans="1:9" x14ac:dyDescent="0.25">
      <c r="A12" s="2" t="s">
        <v>18</v>
      </c>
      <c r="B12" s="2" t="s">
        <v>19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9989944</v>
      </c>
      <c r="D13" s="15">
        <v>10352085</v>
      </c>
      <c r="E13" s="4">
        <v>-3.5</v>
      </c>
      <c r="F13" s="4">
        <v>96.5</v>
      </c>
      <c r="G13" s="15">
        <v>-362141</v>
      </c>
      <c r="I13" s="15">
        <f>SUM(I10:I12)</f>
        <v>11076200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I17" s="14">
        <f>I76</f>
        <v>0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I20" s="14">
        <f>I122</f>
        <v>0</v>
      </c>
    </row>
    <row r="21" spans="1:9" x14ac:dyDescent="0.25">
      <c r="A21" s="3" t="s">
        <v>31</v>
      </c>
      <c r="B21" s="3" t="s">
        <v>32</v>
      </c>
      <c r="C21" s="15"/>
      <c r="D21" s="15"/>
      <c r="E21" s="4"/>
      <c r="F21" s="4"/>
      <c r="G21" s="15"/>
      <c r="I21" s="15">
        <f>I20+I18+I17+I16</f>
        <v>0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I23" s="14">
        <f>I135</f>
        <v>0</v>
      </c>
    </row>
    <row r="24" spans="1:9" x14ac:dyDescent="0.25">
      <c r="A24" s="2" t="s">
        <v>35</v>
      </c>
      <c r="B24" s="2" t="s">
        <v>36</v>
      </c>
      <c r="I24" s="14">
        <f>I197</f>
        <v>0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I26" s="14">
        <f>I218</f>
        <v>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9989944</v>
      </c>
      <c r="D30" s="16">
        <v>10352085</v>
      </c>
      <c r="E30" s="6">
        <v>-3.5</v>
      </c>
      <c r="F30" s="6">
        <v>96.5</v>
      </c>
      <c r="G30" s="16">
        <v>-362141</v>
      </c>
      <c r="I30" s="16">
        <f>I13+I21+I23+I24+I25+I26+I27+I28</f>
        <v>11076200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I32" s="14">
        <f>I242</f>
        <v>0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9989944</v>
      </c>
      <c r="D34" s="16">
        <v>10352085</v>
      </c>
      <c r="E34" s="6">
        <v>-3.5</v>
      </c>
      <c r="F34" s="6">
        <v>96.5</v>
      </c>
      <c r="G34" s="16">
        <v>-362141</v>
      </c>
      <c r="I34" s="16">
        <f>I30+I32</f>
        <v>11076200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</row>
    <row r="40" spans="1:9" x14ac:dyDescent="0.25">
      <c r="A40" s="2" t="s">
        <v>55</v>
      </c>
      <c r="B40" s="2" t="s">
        <v>56</v>
      </c>
    </row>
    <row r="41" spans="1:9" x14ac:dyDescent="0.25">
      <c r="A41" s="2" t="s">
        <v>57</v>
      </c>
      <c r="B41" s="2" t="s">
        <v>58</v>
      </c>
    </row>
    <row r="42" spans="1:9" x14ac:dyDescent="0.25">
      <c r="A42" s="2" t="s">
        <v>59</v>
      </c>
      <c r="B42" s="2" t="s">
        <v>60</v>
      </c>
    </row>
    <row r="43" spans="1:9" x14ac:dyDescent="0.25">
      <c r="A43" s="2" t="s">
        <v>61</v>
      </c>
      <c r="B43" s="2" t="s">
        <v>62</v>
      </c>
    </row>
    <row r="44" spans="1:9" x14ac:dyDescent="0.25">
      <c r="A44" s="2" t="s">
        <v>63</v>
      </c>
      <c r="B44" s="2" t="s">
        <v>64</v>
      </c>
      <c r="C44" s="14">
        <v>9989944</v>
      </c>
      <c r="D44" s="14">
        <v>10352085</v>
      </c>
      <c r="E44">
        <v>-3.5</v>
      </c>
      <c r="F44">
        <v>96.5</v>
      </c>
      <c r="G44" s="14">
        <v>-362141</v>
      </c>
      <c r="I44" s="14">
        <f>7076200+4000000</f>
        <v>11076200</v>
      </c>
    </row>
    <row r="45" spans="1:9" x14ac:dyDescent="0.25">
      <c r="A45" s="3" t="s">
        <v>65</v>
      </c>
      <c r="B45" s="3" t="s">
        <v>66</v>
      </c>
      <c r="C45" s="15">
        <v>9989944</v>
      </c>
      <c r="D45" s="15">
        <v>10352085</v>
      </c>
      <c r="E45" s="4">
        <v>-3.5</v>
      </c>
      <c r="F45" s="4">
        <v>96.5</v>
      </c>
      <c r="G45" s="15">
        <v>-362141</v>
      </c>
      <c r="I45" s="15">
        <f>SUM(I39:I44)</f>
        <v>11076200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</row>
    <row r="52" spans="1:9" x14ac:dyDescent="0.25">
      <c r="A52" s="2" t="s">
        <v>77</v>
      </c>
      <c r="B52" s="2" t="s">
        <v>78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</row>
    <row r="55" spans="1:9" x14ac:dyDescent="0.25">
      <c r="A55" s="2" t="s">
        <v>83</v>
      </c>
      <c r="B55" s="2" t="s">
        <v>84</v>
      </c>
    </row>
    <row r="56" spans="1:9" x14ac:dyDescent="0.25">
      <c r="A56" s="2" t="s">
        <v>85</v>
      </c>
      <c r="B56" s="2" t="s">
        <v>86</v>
      </c>
    </row>
    <row r="57" spans="1:9" x14ac:dyDescent="0.25">
      <c r="A57" s="2" t="s">
        <v>87</v>
      </c>
      <c r="B57" s="2" t="s">
        <v>88</v>
      </c>
    </row>
    <row r="58" spans="1:9" x14ac:dyDescent="0.25">
      <c r="A58" s="3" t="s">
        <v>89</v>
      </c>
      <c r="B58" s="3" t="s">
        <v>17</v>
      </c>
      <c r="C58" s="15"/>
      <c r="D58" s="15"/>
      <c r="E58" s="4"/>
      <c r="F58" s="4"/>
      <c r="G58" s="15"/>
      <c r="I58" s="15">
        <f>SUM(I48:I57)</f>
        <v>0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</row>
    <row r="62" spans="1:9" x14ac:dyDescent="0.25">
      <c r="A62" s="3" t="s">
        <v>94</v>
      </c>
      <c r="B62" s="3" t="s">
        <v>95</v>
      </c>
      <c r="C62" s="15"/>
      <c r="D62" s="15"/>
      <c r="E62" s="4"/>
      <c r="F62" s="4"/>
      <c r="G62" s="15"/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9989944</v>
      </c>
      <c r="D64" s="15">
        <v>10352085</v>
      </c>
      <c r="E64" s="4">
        <v>-3.5</v>
      </c>
      <c r="F64" s="4">
        <v>96.5</v>
      </c>
      <c r="G64" s="15">
        <v>-362141</v>
      </c>
      <c r="I64" s="15">
        <f>I62+I58+I45</f>
        <v>11076200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</row>
    <row r="76" spans="1:9" x14ac:dyDescent="0.25">
      <c r="A76" s="3" t="s">
        <v>116</v>
      </c>
      <c r="B76" s="3" t="s">
        <v>117</v>
      </c>
      <c r="C76" s="15"/>
      <c r="D76" s="15"/>
      <c r="E76" s="4"/>
      <c r="F76" s="4"/>
      <c r="G76" s="15"/>
      <c r="I76" s="15">
        <f>SUM(I72:I75)</f>
        <v>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9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9" x14ac:dyDescent="0.25">
      <c r="A82" s="2" t="s">
        <v>12</v>
      </c>
      <c r="B82" s="2" t="s">
        <v>12</v>
      </c>
    </row>
    <row r="83" spans="1:9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9" x14ac:dyDescent="0.25">
      <c r="A84" s="2" t="s">
        <v>127</v>
      </c>
      <c r="B84" s="2" t="s">
        <v>128</v>
      </c>
    </row>
    <row r="85" spans="1:9" x14ac:dyDescent="0.25">
      <c r="A85" s="2" t="s">
        <v>129</v>
      </c>
      <c r="B85" s="2" t="s">
        <v>130</v>
      </c>
    </row>
    <row r="86" spans="1:9" x14ac:dyDescent="0.25">
      <c r="A86" s="2" t="s">
        <v>131</v>
      </c>
      <c r="B86" s="2" t="s">
        <v>132</v>
      </c>
    </row>
    <row r="87" spans="1:9" x14ac:dyDescent="0.25">
      <c r="A87" s="2" t="s">
        <v>133</v>
      </c>
      <c r="B87" s="2" t="s">
        <v>134</v>
      </c>
    </row>
    <row r="88" spans="1:9" x14ac:dyDescent="0.25">
      <c r="A88" s="2" t="s">
        <v>135</v>
      </c>
      <c r="B88" s="2" t="s">
        <v>136</v>
      </c>
    </row>
    <row r="89" spans="1:9" x14ac:dyDescent="0.25">
      <c r="A89" s="2" t="s">
        <v>137</v>
      </c>
      <c r="B89" s="2" t="s">
        <v>138</v>
      </c>
    </row>
    <row r="90" spans="1:9" x14ac:dyDescent="0.25">
      <c r="A90" s="2" t="s">
        <v>139</v>
      </c>
      <c r="B90" s="2" t="s">
        <v>140</v>
      </c>
    </row>
    <row r="91" spans="1:9" x14ac:dyDescent="0.25">
      <c r="A91" s="2" t="s">
        <v>141</v>
      </c>
      <c r="B91" s="2" t="s">
        <v>142</v>
      </c>
    </row>
    <row r="92" spans="1:9" x14ac:dyDescent="0.25">
      <c r="A92" s="2" t="s">
        <v>143</v>
      </c>
      <c r="B92" s="2" t="s">
        <v>144</v>
      </c>
    </row>
    <row r="93" spans="1:9" x14ac:dyDescent="0.25">
      <c r="A93" s="2" t="s">
        <v>145</v>
      </c>
      <c r="B93" s="2" t="s">
        <v>146</v>
      </c>
    </row>
    <row r="94" spans="1:9" x14ac:dyDescent="0.25">
      <c r="A94" s="2" t="s">
        <v>147</v>
      </c>
      <c r="B94" s="2" t="s">
        <v>148</v>
      </c>
    </row>
    <row r="95" spans="1:9" x14ac:dyDescent="0.25">
      <c r="A95" s="2" t="s">
        <v>149</v>
      </c>
      <c r="B95" s="2" t="s">
        <v>150</v>
      </c>
    </row>
    <row r="96" spans="1:9" x14ac:dyDescent="0.25">
      <c r="A96" s="2" t="s">
        <v>151</v>
      </c>
      <c r="B96" s="2" t="s">
        <v>152</v>
      </c>
    </row>
    <row r="97" spans="1:9" x14ac:dyDescent="0.25">
      <c r="A97" s="2" t="s">
        <v>153</v>
      </c>
      <c r="B97" s="2" t="s">
        <v>154</v>
      </c>
    </row>
    <row r="98" spans="1:9" x14ac:dyDescent="0.25">
      <c r="A98" s="2" t="s">
        <v>155</v>
      </c>
      <c r="B98" s="2" t="s">
        <v>156</v>
      </c>
    </row>
    <row r="99" spans="1:9" x14ac:dyDescent="0.25">
      <c r="A99" s="2" t="s">
        <v>157</v>
      </c>
      <c r="B99" s="2" t="s">
        <v>158</v>
      </c>
    </row>
    <row r="100" spans="1:9" x14ac:dyDescent="0.25">
      <c r="A100" s="2" t="s">
        <v>159</v>
      </c>
      <c r="B100" s="2" t="s">
        <v>160</v>
      </c>
    </row>
    <row r="101" spans="1:9" x14ac:dyDescent="0.25">
      <c r="A101" s="2" t="s">
        <v>161</v>
      </c>
      <c r="B101" s="2" t="s">
        <v>162</v>
      </c>
    </row>
    <row r="102" spans="1:9" x14ac:dyDescent="0.25">
      <c r="A102" s="2" t="s">
        <v>163</v>
      </c>
      <c r="B102" s="2" t="s">
        <v>164</v>
      </c>
    </row>
    <row r="103" spans="1:9" x14ac:dyDescent="0.25">
      <c r="A103" s="2" t="s">
        <v>165</v>
      </c>
      <c r="B103" s="2" t="s">
        <v>166</v>
      </c>
    </row>
    <row r="104" spans="1:9" x14ac:dyDescent="0.25">
      <c r="A104" s="2" t="s">
        <v>167</v>
      </c>
      <c r="B104" s="2" t="s">
        <v>168</v>
      </c>
    </row>
    <row r="105" spans="1:9" x14ac:dyDescent="0.25">
      <c r="A105" s="2" t="s">
        <v>169</v>
      </c>
      <c r="B105" s="2" t="s">
        <v>170</v>
      </c>
    </row>
    <row r="106" spans="1:9" x14ac:dyDescent="0.25">
      <c r="A106" s="3" t="s">
        <v>171</v>
      </c>
      <c r="B106" s="3" t="s">
        <v>172</v>
      </c>
      <c r="C106" s="15"/>
      <c r="D106" s="15"/>
      <c r="E106" s="4"/>
      <c r="F106" s="4"/>
      <c r="G106" s="15"/>
      <c r="I106" s="15">
        <f>SUM(I84:I105)</f>
        <v>0</v>
      </c>
    </row>
    <row r="107" spans="1:9" x14ac:dyDescent="0.25">
      <c r="A107" s="2" t="s">
        <v>12</v>
      </c>
      <c r="B107" s="2" t="s">
        <v>12</v>
      </c>
    </row>
    <row r="108" spans="1:9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</row>
    <row r="109" spans="1:9" x14ac:dyDescent="0.25">
      <c r="A109" s="2" t="s">
        <v>175</v>
      </c>
      <c r="B109" s="2" t="s">
        <v>174</v>
      </c>
    </row>
    <row r="110" spans="1:9" x14ac:dyDescent="0.25">
      <c r="A110" s="2" t="s">
        <v>176</v>
      </c>
      <c r="B110" s="2" t="s">
        <v>177</v>
      </c>
    </row>
    <row r="111" spans="1:9" x14ac:dyDescent="0.25">
      <c r="A111" s="3" t="s">
        <v>178</v>
      </c>
      <c r="B111" s="3" t="s">
        <v>179</v>
      </c>
      <c r="C111" s="15"/>
      <c r="D111" s="15"/>
      <c r="E111" s="4"/>
      <c r="F111" s="4"/>
      <c r="G111" s="15"/>
      <c r="I111" s="15">
        <f>I110+I109</f>
        <v>0</v>
      </c>
    </row>
    <row r="112" spans="1:9" x14ac:dyDescent="0.25">
      <c r="A112" s="2" t="s">
        <v>12</v>
      </c>
      <c r="B112" s="2" t="s">
        <v>12</v>
      </c>
    </row>
    <row r="113" spans="1:9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</row>
    <row r="114" spans="1:9" x14ac:dyDescent="0.25">
      <c r="A114" s="2" t="s">
        <v>182</v>
      </c>
      <c r="B114" s="2" t="s">
        <v>183</v>
      </c>
    </row>
    <row r="115" spans="1:9" x14ac:dyDescent="0.25">
      <c r="A115" s="2" t="s">
        <v>184</v>
      </c>
      <c r="B115" s="2" t="s">
        <v>185</v>
      </c>
    </row>
    <row r="116" spans="1:9" x14ac:dyDescent="0.25">
      <c r="A116" s="2" t="s">
        <v>186</v>
      </c>
      <c r="B116" s="2" t="s">
        <v>187</v>
      </c>
    </row>
    <row r="117" spans="1:9" x14ac:dyDescent="0.25">
      <c r="A117" s="2" t="s">
        <v>188</v>
      </c>
      <c r="B117" s="2" t="s">
        <v>189</v>
      </c>
    </row>
    <row r="118" spans="1:9" x14ac:dyDescent="0.25">
      <c r="A118" s="2" t="s">
        <v>190</v>
      </c>
      <c r="B118" s="2" t="s">
        <v>191</v>
      </c>
    </row>
    <row r="119" spans="1:9" x14ac:dyDescent="0.25">
      <c r="A119" s="2" t="s">
        <v>192</v>
      </c>
      <c r="B119" s="2" t="s">
        <v>193</v>
      </c>
    </row>
    <row r="120" spans="1:9" x14ac:dyDescent="0.25">
      <c r="A120" s="2" t="s">
        <v>194</v>
      </c>
      <c r="B120" s="2" t="s">
        <v>195</v>
      </c>
    </row>
    <row r="121" spans="1:9" x14ac:dyDescent="0.25">
      <c r="A121" s="3" t="s">
        <v>196</v>
      </c>
      <c r="B121" s="3" t="s">
        <v>197</v>
      </c>
      <c r="C121" s="15"/>
      <c r="D121" s="15"/>
      <c r="E121" s="4"/>
      <c r="F121" s="4"/>
      <c r="G121" s="15"/>
      <c r="I121" s="15">
        <f>SUM(I114:I120)</f>
        <v>0</v>
      </c>
    </row>
    <row r="122" spans="1:9" x14ac:dyDescent="0.25">
      <c r="A122" s="3" t="s">
        <v>198</v>
      </c>
      <c r="B122" s="3" t="s">
        <v>199</v>
      </c>
      <c r="C122" s="15"/>
      <c r="D122" s="15"/>
      <c r="E122" s="4"/>
      <c r="F122" s="4"/>
      <c r="G122" s="15"/>
      <c r="I122" s="15">
        <f>I121+I111+I106</f>
        <v>0</v>
      </c>
    </row>
    <row r="123" spans="1:9" x14ac:dyDescent="0.25">
      <c r="A123" s="2" t="s">
        <v>12</v>
      </c>
      <c r="B123" s="2" t="s">
        <v>12</v>
      </c>
    </row>
    <row r="124" spans="1:9" x14ac:dyDescent="0.25">
      <c r="A124" s="3" t="s">
        <v>200</v>
      </c>
      <c r="B124" s="3" t="s">
        <v>201</v>
      </c>
      <c r="C124" s="15"/>
      <c r="D124" s="15"/>
      <c r="E124" s="4"/>
      <c r="F124" s="4"/>
      <c r="G124" s="15"/>
      <c r="I124" s="15">
        <f>I122+I81+I76+I69</f>
        <v>0</v>
      </c>
    </row>
    <row r="125" spans="1:9" x14ac:dyDescent="0.25">
      <c r="A125" s="2" t="s">
        <v>12</v>
      </c>
      <c r="B125" s="2" t="s">
        <v>12</v>
      </c>
    </row>
    <row r="126" spans="1:9" x14ac:dyDescent="0.25">
      <c r="A126" s="3" t="s">
        <v>202</v>
      </c>
      <c r="B126" s="3" t="s">
        <v>203</v>
      </c>
      <c r="C126" s="15">
        <v>9989944</v>
      </c>
      <c r="D126" s="15">
        <v>10352085</v>
      </c>
      <c r="E126" s="4">
        <v>-3.5</v>
      </c>
      <c r="F126" s="4">
        <v>96.5</v>
      </c>
      <c r="G126" s="15">
        <v>-362141</v>
      </c>
      <c r="I126" s="15">
        <f>I64+I124</f>
        <v>11076200</v>
      </c>
    </row>
    <row r="127" spans="1:9" x14ac:dyDescent="0.25">
      <c r="A127" s="2" t="s">
        <v>12</v>
      </c>
      <c r="B127" s="2" t="s">
        <v>12</v>
      </c>
    </row>
    <row r="128" spans="1:9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</row>
    <row r="129" spans="1:9" x14ac:dyDescent="0.25">
      <c r="A129" s="2" t="s">
        <v>206</v>
      </c>
      <c r="B129" s="2" t="s">
        <v>207</v>
      </c>
    </row>
    <row r="130" spans="1:9" x14ac:dyDescent="0.25">
      <c r="A130" s="2" t="s">
        <v>208</v>
      </c>
      <c r="B130" s="2" t="s">
        <v>209</v>
      </c>
    </row>
    <row r="131" spans="1:9" x14ac:dyDescent="0.25">
      <c r="A131" s="2" t="s">
        <v>210</v>
      </c>
      <c r="B131" s="2" t="s">
        <v>211</v>
      </c>
    </row>
    <row r="132" spans="1:9" x14ac:dyDescent="0.25">
      <c r="A132" s="2" t="s">
        <v>212</v>
      </c>
      <c r="B132" s="2" t="s">
        <v>213</v>
      </c>
    </row>
    <row r="133" spans="1:9" x14ac:dyDescent="0.25">
      <c r="A133" s="2" t="s">
        <v>214</v>
      </c>
      <c r="B133" s="2" t="s">
        <v>215</v>
      </c>
    </row>
    <row r="134" spans="1:9" x14ac:dyDescent="0.25">
      <c r="A134" s="2" t="s">
        <v>216</v>
      </c>
      <c r="B134" s="2" t="s">
        <v>217</v>
      </c>
    </row>
    <row r="135" spans="1:9" x14ac:dyDescent="0.25">
      <c r="A135" s="3" t="s">
        <v>218</v>
      </c>
      <c r="B135" s="3" t="s">
        <v>219</v>
      </c>
      <c r="C135" s="15"/>
      <c r="D135" s="15"/>
      <c r="E135" s="4"/>
      <c r="F135" s="4"/>
      <c r="G135" s="15"/>
      <c r="I135" s="15">
        <f>SUM(I129:I134)</f>
        <v>0</v>
      </c>
    </row>
    <row r="136" spans="1:9" x14ac:dyDescent="0.25">
      <c r="A136" s="2" t="s">
        <v>12</v>
      </c>
      <c r="B136" s="2" t="s">
        <v>12</v>
      </c>
    </row>
    <row r="137" spans="1:9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</row>
    <row r="138" spans="1:9" x14ac:dyDescent="0.25">
      <c r="A138" s="2" t="s">
        <v>222</v>
      </c>
      <c r="B138" s="2" t="s">
        <v>223</v>
      </c>
    </row>
    <row r="139" spans="1:9" x14ac:dyDescent="0.25">
      <c r="A139" s="2" t="s">
        <v>224</v>
      </c>
      <c r="B139" s="2" t="s">
        <v>225</v>
      </c>
    </row>
    <row r="140" spans="1:9" x14ac:dyDescent="0.25">
      <c r="A140" s="2" t="s">
        <v>226</v>
      </c>
      <c r="B140" s="2" t="s">
        <v>227</v>
      </c>
    </row>
    <row r="141" spans="1:9" x14ac:dyDescent="0.25">
      <c r="A141" s="2" t="s">
        <v>228</v>
      </c>
      <c r="B141" s="2" t="s">
        <v>229</v>
      </c>
    </row>
    <row r="142" spans="1:9" x14ac:dyDescent="0.25">
      <c r="A142" s="2" t="s">
        <v>230</v>
      </c>
      <c r="B142" s="2" t="s">
        <v>231</v>
      </c>
    </row>
    <row r="143" spans="1:9" x14ac:dyDescent="0.25">
      <c r="A143" s="2" t="s">
        <v>232</v>
      </c>
      <c r="B143" s="2" t="s">
        <v>233</v>
      </c>
    </row>
    <row r="144" spans="1:9" x14ac:dyDescent="0.25">
      <c r="A144" s="2" t="s">
        <v>234</v>
      </c>
      <c r="B144" s="2" t="s">
        <v>235</v>
      </c>
    </row>
    <row r="145" spans="1:2" x14ac:dyDescent="0.25">
      <c r="A145" s="2" t="s">
        <v>236</v>
      </c>
      <c r="B145" s="2" t="s">
        <v>237</v>
      </c>
    </row>
    <row r="146" spans="1:2" x14ac:dyDescent="0.25">
      <c r="A146" s="2" t="s">
        <v>238</v>
      </c>
      <c r="B146" s="2" t="s">
        <v>239</v>
      </c>
    </row>
    <row r="147" spans="1:2" x14ac:dyDescent="0.25">
      <c r="A147" s="2" t="s">
        <v>240</v>
      </c>
      <c r="B147" s="2" t="s">
        <v>241</v>
      </c>
    </row>
    <row r="148" spans="1:2" x14ac:dyDescent="0.25">
      <c r="A148" s="2" t="s">
        <v>242</v>
      </c>
      <c r="B148" s="2" t="s">
        <v>243</v>
      </c>
    </row>
    <row r="149" spans="1:2" x14ac:dyDescent="0.25">
      <c r="A149" s="2" t="s">
        <v>244</v>
      </c>
      <c r="B149" s="2" t="s">
        <v>245</v>
      </c>
    </row>
    <row r="150" spans="1:2" x14ac:dyDescent="0.25">
      <c r="A150" s="2" t="s">
        <v>246</v>
      </c>
      <c r="B150" s="2" t="s">
        <v>247</v>
      </c>
    </row>
    <row r="151" spans="1:2" x14ac:dyDescent="0.25">
      <c r="A151" s="2" t="s">
        <v>248</v>
      </c>
      <c r="B151" s="2" t="s">
        <v>249</v>
      </c>
    </row>
    <row r="152" spans="1:2" x14ac:dyDescent="0.25">
      <c r="A152" s="2" t="s">
        <v>250</v>
      </c>
      <c r="B152" s="2" t="s">
        <v>251</v>
      </c>
    </row>
    <row r="153" spans="1:2" x14ac:dyDescent="0.25">
      <c r="A153" s="2" t="s">
        <v>252</v>
      </c>
      <c r="B153" s="2" t="s">
        <v>253</v>
      </c>
    </row>
    <row r="154" spans="1:2" x14ac:dyDescent="0.25">
      <c r="A154" s="2" t="s">
        <v>254</v>
      </c>
      <c r="B154" s="2" t="s">
        <v>255</v>
      </c>
    </row>
    <row r="155" spans="1:2" x14ac:dyDescent="0.25">
      <c r="A155" s="2" t="s">
        <v>256</v>
      </c>
      <c r="B155" s="2" t="s">
        <v>257</v>
      </c>
    </row>
    <row r="156" spans="1:2" x14ac:dyDescent="0.25">
      <c r="A156" s="2" t="s">
        <v>258</v>
      </c>
      <c r="B156" s="2" t="s">
        <v>259</v>
      </c>
    </row>
    <row r="157" spans="1:2" x14ac:dyDescent="0.25">
      <c r="A157" s="2" t="s">
        <v>260</v>
      </c>
      <c r="B157" s="2" t="s">
        <v>261</v>
      </c>
    </row>
    <row r="158" spans="1:2" x14ac:dyDescent="0.25">
      <c r="A158" s="2" t="s">
        <v>262</v>
      </c>
      <c r="B158" s="2" t="s">
        <v>263</v>
      </c>
    </row>
    <row r="159" spans="1:2" x14ac:dyDescent="0.25">
      <c r="A159" s="2" t="s">
        <v>264</v>
      </c>
      <c r="B159" s="2" t="s">
        <v>265</v>
      </c>
    </row>
    <row r="160" spans="1:2" x14ac:dyDescent="0.25">
      <c r="A160" s="2" t="s">
        <v>266</v>
      </c>
      <c r="B160" s="2" t="s">
        <v>267</v>
      </c>
    </row>
    <row r="161" spans="1:2" x14ac:dyDescent="0.25">
      <c r="A161" s="2" t="s">
        <v>268</v>
      </c>
      <c r="B161" s="2" t="s">
        <v>269</v>
      </c>
    </row>
    <row r="162" spans="1:2" x14ac:dyDescent="0.25">
      <c r="A162" s="2" t="s">
        <v>270</v>
      </c>
      <c r="B162" s="2" t="s">
        <v>271</v>
      </c>
    </row>
    <row r="163" spans="1:2" x14ac:dyDescent="0.25">
      <c r="A163" s="2" t="s">
        <v>272</v>
      </c>
      <c r="B163" s="2" t="s">
        <v>273</v>
      </c>
    </row>
    <row r="164" spans="1:2" x14ac:dyDescent="0.25">
      <c r="A164" s="2" t="s">
        <v>274</v>
      </c>
      <c r="B164" s="2" t="s">
        <v>275</v>
      </c>
    </row>
    <row r="165" spans="1:2" x14ac:dyDescent="0.25">
      <c r="A165" s="2" t="s">
        <v>276</v>
      </c>
      <c r="B165" s="2" t="s">
        <v>277</v>
      </c>
    </row>
    <row r="166" spans="1:2" x14ac:dyDescent="0.25">
      <c r="A166" s="2" t="s">
        <v>278</v>
      </c>
      <c r="B166" s="2" t="s">
        <v>279</v>
      </c>
    </row>
    <row r="167" spans="1:2" x14ac:dyDescent="0.25">
      <c r="A167" s="2" t="s">
        <v>280</v>
      </c>
      <c r="B167" s="2" t="s">
        <v>281</v>
      </c>
    </row>
    <row r="168" spans="1:2" x14ac:dyDescent="0.25">
      <c r="A168" s="2" t="s">
        <v>282</v>
      </c>
      <c r="B168" s="2" t="s">
        <v>283</v>
      </c>
    </row>
    <row r="169" spans="1:2" x14ac:dyDescent="0.25">
      <c r="A169" s="2" t="s">
        <v>284</v>
      </c>
      <c r="B169" s="2" t="s">
        <v>285</v>
      </c>
    </row>
    <row r="170" spans="1:2" x14ac:dyDescent="0.25">
      <c r="A170" s="2" t="s">
        <v>286</v>
      </c>
      <c r="B170" s="2" t="s">
        <v>287</v>
      </c>
    </row>
    <row r="171" spans="1:2" x14ac:dyDescent="0.25">
      <c r="A171" s="2" t="s">
        <v>288</v>
      </c>
      <c r="B171" s="2" t="s">
        <v>289</v>
      </c>
    </row>
    <row r="172" spans="1:2" x14ac:dyDescent="0.25">
      <c r="A172" s="2" t="s">
        <v>290</v>
      </c>
      <c r="B172" s="2" t="s">
        <v>291</v>
      </c>
    </row>
    <row r="173" spans="1:2" x14ac:dyDescent="0.25">
      <c r="A173" s="2" t="s">
        <v>292</v>
      </c>
      <c r="B173" s="2" t="s">
        <v>293</v>
      </c>
    </row>
    <row r="174" spans="1:2" x14ac:dyDescent="0.25">
      <c r="A174" s="2" t="s">
        <v>294</v>
      </c>
      <c r="B174" s="2" t="s">
        <v>295</v>
      </c>
    </row>
    <row r="175" spans="1:2" x14ac:dyDescent="0.25">
      <c r="A175" s="2" t="s">
        <v>296</v>
      </c>
      <c r="B175" s="2" t="s">
        <v>297</v>
      </c>
    </row>
    <row r="176" spans="1:2" x14ac:dyDescent="0.25">
      <c r="A176" s="2" t="s">
        <v>298</v>
      </c>
      <c r="B176" s="2" t="s">
        <v>299</v>
      </c>
    </row>
    <row r="177" spans="1:2" x14ac:dyDescent="0.25">
      <c r="A177" s="2" t="s">
        <v>300</v>
      </c>
      <c r="B177" s="2" t="s">
        <v>301</v>
      </c>
    </row>
    <row r="178" spans="1:2" x14ac:dyDescent="0.25">
      <c r="A178" s="2" t="s">
        <v>302</v>
      </c>
      <c r="B178" s="2" t="s">
        <v>303</v>
      </c>
    </row>
    <row r="179" spans="1:2" x14ac:dyDescent="0.25">
      <c r="A179" s="2" t="s">
        <v>304</v>
      </c>
      <c r="B179" s="2" t="s">
        <v>305</v>
      </c>
    </row>
    <row r="180" spans="1:2" x14ac:dyDescent="0.25">
      <c r="A180" s="2" t="s">
        <v>306</v>
      </c>
      <c r="B180" s="2" t="s">
        <v>307</v>
      </c>
    </row>
    <row r="181" spans="1:2" x14ac:dyDescent="0.25">
      <c r="A181" s="2" t="s">
        <v>308</v>
      </c>
      <c r="B181" s="2" t="s">
        <v>309</v>
      </c>
    </row>
    <row r="182" spans="1:2" x14ac:dyDescent="0.25">
      <c r="A182" s="2" t="s">
        <v>310</v>
      </c>
      <c r="B182" s="2" t="s">
        <v>311</v>
      </c>
    </row>
    <row r="183" spans="1:2" x14ac:dyDescent="0.25">
      <c r="A183" s="2" t="s">
        <v>312</v>
      </c>
      <c r="B183" s="2" t="s">
        <v>313</v>
      </c>
    </row>
    <row r="184" spans="1:2" x14ac:dyDescent="0.25">
      <c r="A184" s="2" t="s">
        <v>314</v>
      </c>
      <c r="B184" s="2" t="s">
        <v>315</v>
      </c>
    </row>
    <row r="185" spans="1:2" x14ac:dyDescent="0.25">
      <c r="A185" s="2" t="s">
        <v>316</v>
      </c>
      <c r="B185" s="2" t="s">
        <v>317</v>
      </c>
    </row>
    <row r="186" spans="1:2" x14ac:dyDescent="0.25">
      <c r="A186" s="2" t="s">
        <v>318</v>
      </c>
      <c r="B186" s="2" t="s">
        <v>319</v>
      </c>
    </row>
    <row r="187" spans="1:2" x14ac:dyDescent="0.25">
      <c r="A187" s="2" t="s">
        <v>320</v>
      </c>
      <c r="B187" s="2" t="s">
        <v>321</v>
      </c>
    </row>
    <row r="188" spans="1:2" x14ac:dyDescent="0.25">
      <c r="A188" s="2" t="s">
        <v>322</v>
      </c>
      <c r="B188" s="2" t="s">
        <v>323</v>
      </c>
    </row>
    <row r="189" spans="1:2" x14ac:dyDescent="0.25">
      <c r="A189" s="2" t="s">
        <v>324</v>
      </c>
      <c r="B189" s="2" t="s">
        <v>325</v>
      </c>
    </row>
    <row r="190" spans="1:2" x14ac:dyDescent="0.25">
      <c r="A190" s="2" t="s">
        <v>326</v>
      </c>
      <c r="B190" s="2" t="s">
        <v>327</v>
      </c>
    </row>
    <row r="191" spans="1:2" x14ac:dyDescent="0.25">
      <c r="A191" s="2" t="s">
        <v>328</v>
      </c>
      <c r="B191" s="2" t="s">
        <v>329</v>
      </c>
    </row>
    <row r="192" spans="1:2" x14ac:dyDescent="0.25">
      <c r="A192" s="2" t="s">
        <v>330</v>
      </c>
      <c r="B192" s="2" t="s">
        <v>331</v>
      </c>
    </row>
    <row r="193" spans="1:9" x14ac:dyDescent="0.25">
      <c r="A193" s="2" t="s">
        <v>332</v>
      </c>
      <c r="B193" s="2" t="s">
        <v>333</v>
      </c>
    </row>
    <row r="194" spans="1:9" x14ac:dyDescent="0.25">
      <c r="A194" s="2" t="s">
        <v>334</v>
      </c>
      <c r="B194" s="2" t="s">
        <v>335</v>
      </c>
    </row>
    <row r="195" spans="1:9" x14ac:dyDescent="0.25">
      <c r="A195" s="2" t="s">
        <v>336</v>
      </c>
      <c r="B195" s="2" t="s">
        <v>337</v>
      </c>
    </row>
    <row r="196" spans="1:9" x14ac:dyDescent="0.25">
      <c r="A196" s="2" t="s">
        <v>338</v>
      </c>
      <c r="B196" s="2" t="s">
        <v>339</v>
      </c>
    </row>
    <row r="197" spans="1:9" x14ac:dyDescent="0.25">
      <c r="A197" s="3" t="s">
        <v>340</v>
      </c>
      <c r="B197" s="3" t="s">
        <v>341</v>
      </c>
      <c r="C197" s="15"/>
      <c r="D197" s="15"/>
      <c r="E197" s="4"/>
      <c r="F197" s="4"/>
      <c r="G197" s="15"/>
      <c r="I197" s="15">
        <f>SUM(I138:I196)</f>
        <v>0</v>
      </c>
    </row>
    <row r="198" spans="1:9" x14ac:dyDescent="0.25">
      <c r="A198" s="2" t="s">
        <v>12</v>
      </c>
      <c r="B198" s="2" t="s">
        <v>12</v>
      </c>
    </row>
    <row r="199" spans="1:9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</row>
    <row r="200" spans="1:9" x14ac:dyDescent="0.25">
      <c r="A200" s="2" t="s">
        <v>344</v>
      </c>
      <c r="B200" s="2" t="s">
        <v>345</v>
      </c>
    </row>
    <row r="201" spans="1:9" x14ac:dyDescent="0.25">
      <c r="A201" s="2" t="s">
        <v>346</v>
      </c>
      <c r="B201" s="2" t="s">
        <v>347</v>
      </c>
    </row>
    <row r="202" spans="1:9" x14ac:dyDescent="0.25">
      <c r="A202" s="2" t="s">
        <v>348</v>
      </c>
      <c r="B202" s="2" t="s">
        <v>349</v>
      </c>
    </row>
    <row r="203" spans="1:9" x14ac:dyDescent="0.25">
      <c r="A203" s="2" t="s">
        <v>350</v>
      </c>
      <c r="B203" s="2" t="s">
        <v>351</v>
      </c>
    </row>
    <row r="204" spans="1:9" x14ac:dyDescent="0.25">
      <c r="A204" s="2" t="s">
        <v>352</v>
      </c>
      <c r="B204" s="2" t="s">
        <v>353</v>
      </c>
    </row>
    <row r="205" spans="1:9" x14ac:dyDescent="0.25">
      <c r="A205" s="2" t="s">
        <v>354</v>
      </c>
      <c r="B205" s="2" t="s">
        <v>355</v>
      </c>
    </row>
    <row r="206" spans="1:9" x14ac:dyDescent="0.25">
      <c r="A206" s="2" t="s">
        <v>356</v>
      </c>
      <c r="B206" s="2" t="s">
        <v>357</v>
      </c>
    </row>
    <row r="207" spans="1:9" x14ac:dyDescent="0.25">
      <c r="A207" s="2" t="s">
        <v>358</v>
      </c>
      <c r="B207" s="2" t="s">
        <v>359</v>
      </c>
    </row>
    <row r="208" spans="1:9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</row>
    <row r="209" spans="1:9" x14ac:dyDescent="0.25">
      <c r="A209" s="2" t="s">
        <v>12</v>
      </c>
      <c r="B209" s="2" t="s">
        <v>12</v>
      </c>
    </row>
    <row r="210" spans="1:9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</row>
    <row r="211" spans="1:9" x14ac:dyDescent="0.25">
      <c r="A211" s="2" t="s">
        <v>363</v>
      </c>
      <c r="B211" s="2" t="s">
        <v>364</v>
      </c>
    </row>
    <row r="212" spans="1:9" x14ac:dyDescent="0.25">
      <c r="A212" s="2" t="s">
        <v>365</v>
      </c>
      <c r="B212" s="2" t="s">
        <v>366</v>
      </c>
    </row>
    <row r="213" spans="1:9" x14ac:dyDescent="0.25">
      <c r="A213" s="2" t="s">
        <v>367</v>
      </c>
      <c r="B213" s="2" t="s">
        <v>368</v>
      </c>
    </row>
    <row r="214" spans="1:9" x14ac:dyDescent="0.25">
      <c r="A214" s="2" t="s">
        <v>369</v>
      </c>
      <c r="B214" s="2" t="s">
        <v>370</v>
      </c>
    </row>
    <row r="215" spans="1:9" x14ac:dyDescent="0.25">
      <c r="A215" s="2" t="s">
        <v>371</v>
      </c>
      <c r="B215" s="2" t="s">
        <v>372</v>
      </c>
    </row>
    <row r="216" spans="1:9" x14ac:dyDescent="0.25">
      <c r="A216" s="2" t="s">
        <v>373</v>
      </c>
      <c r="B216" s="2" t="s">
        <v>374</v>
      </c>
    </row>
    <row r="217" spans="1:9" x14ac:dyDescent="0.25">
      <c r="A217" s="2" t="s">
        <v>375</v>
      </c>
      <c r="B217" s="2" t="s">
        <v>376</v>
      </c>
    </row>
    <row r="218" spans="1:9" x14ac:dyDescent="0.25">
      <c r="A218" s="3" t="s">
        <v>377</v>
      </c>
      <c r="B218" s="3" t="s">
        <v>378</v>
      </c>
      <c r="C218" s="15"/>
      <c r="D218" s="15"/>
      <c r="E218" s="4"/>
      <c r="F218" s="4"/>
      <c r="G218" s="15"/>
      <c r="I218" s="15">
        <f>SUM(I211:I217)</f>
        <v>0</v>
      </c>
    </row>
    <row r="219" spans="1:9" x14ac:dyDescent="0.25">
      <c r="A219" s="2" t="s">
        <v>12</v>
      </c>
      <c r="B219" s="2" t="s">
        <v>12</v>
      </c>
    </row>
    <row r="220" spans="1:9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</row>
    <row r="221" spans="1:9" x14ac:dyDescent="0.25">
      <c r="A221" s="2" t="s">
        <v>381</v>
      </c>
      <c r="B221" s="2" t="s">
        <v>380</v>
      </c>
    </row>
    <row r="222" spans="1:9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</row>
    <row r="223" spans="1:9" x14ac:dyDescent="0.25">
      <c r="A223" s="2" t="s">
        <v>12</v>
      </c>
      <c r="B223" s="2" t="s">
        <v>12</v>
      </c>
    </row>
    <row r="224" spans="1:9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</row>
    <row r="225" spans="1:9" x14ac:dyDescent="0.25">
      <c r="A225" s="2" t="s">
        <v>386</v>
      </c>
      <c r="B225" s="2" t="s">
        <v>385</v>
      </c>
    </row>
    <row r="226" spans="1:9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</row>
    <row r="227" spans="1:9" x14ac:dyDescent="0.25">
      <c r="A227" s="2" t="s">
        <v>12</v>
      </c>
      <c r="B227" s="2" t="s">
        <v>12</v>
      </c>
    </row>
    <row r="228" spans="1:9" ht="15.75" thickBot="1" x14ac:dyDescent="0.3">
      <c r="A228" s="5" t="s">
        <v>389</v>
      </c>
      <c r="B228" s="5" t="s">
        <v>390</v>
      </c>
      <c r="C228" s="16">
        <v>9989944</v>
      </c>
      <c r="D228" s="16">
        <v>10352085</v>
      </c>
      <c r="E228" s="6">
        <v>-3.5</v>
      </c>
      <c r="F228" s="6">
        <v>96.5</v>
      </c>
      <c r="G228" s="16">
        <v>-362141</v>
      </c>
      <c r="I228" s="16">
        <f>I126+I135+I197+I208+I218+I222+I226</f>
        <v>11076200</v>
      </c>
    </row>
    <row r="229" spans="1:9" ht="15.75" thickTop="1" x14ac:dyDescent="0.25">
      <c r="A229" s="2" t="s">
        <v>12</v>
      </c>
      <c r="B229" s="2" t="s">
        <v>12</v>
      </c>
    </row>
    <row r="230" spans="1:9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</row>
    <row r="231" spans="1:9" x14ac:dyDescent="0.25">
      <c r="A231" s="2" t="s">
        <v>393</v>
      </c>
      <c r="B231" s="2" t="s">
        <v>394</v>
      </c>
    </row>
    <row r="232" spans="1:9" x14ac:dyDescent="0.25">
      <c r="A232" s="2" t="s">
        <v>395</v>
      </c>
      <c r="B232" s="2" t="s">
        <v>396</v>
      </c>
    </row>
    <row r="233" spans="1:9" x14ac:dyDescent="0.25">
      <c r="A233" s="2" t="s">
        <v>397</v>
      </c>
      <c r="B233" s="2" t="s">
        <v>398</v>
      </c>
    </row>
    <row r="234" spans="1:9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</row>
    <row r="235" spans="1:9" x14ac:dyDescent="0.25">
      <c r="A235" s="2" t="s">
        <v>12</v>
      </c>
      <c r="B235" s="2" t="s">
        <v>12</v>
      </c>
    </row>
    <row r="236" spans="1:9" ht="15.75" thickBot="1" x14ac:dyDescent="0.3">
      <c r="A236" s="5" t="s">
        <v>12</v>
      </c>
      <c r="B236" s="5" t="s">
        <v>46</v>
      </c>
      <c r="C236" s="16">
        <v>9989944</v>
      </c>
      <c r="D236" s="16">
        <v>10352085</v>
      </c>
      <c r="E236" s="6">
        <v>-3.5</v>
      </c>
      <c r="F236" s="6">
        <v>96.5</v>
      </c>
      <c r="G236" s="16">
        <v>-362141</v>
      </c>
      <c r="I236" s="16">
        <f>I228+I234</f>
        <v>11076200</v>
      </c>
    </row>
    <row r="237" spans="1:9" ht="15.75" thickTop="1" x14ac:dyDescent="0.25">
      <c r="A237" s="2" t="s">
        <v>12</v>
      </c>
      <c r="B237" s="2" t="s">
        <v>12</v>
      </c>
    </row>
    <row r="238" spans="1:9" x14ac:dyDescent="0.25">
      <c r="A238" s="2" t="s">
        <v>401</v>
      </c>
      <c r="B238" s="2" t="s">
        <v>402</v>
      </c>
    </row>
    <row r="239" spans="1:9" x14ac:dyDescent="0.25">
      <c r="A239" s="2" t="s">
        <v>403</v>
      </c>
      <c r="B239" s="2" t="s">
        <v>404</v>
      </c>
    </row>
    <row r="240" spans="1:9" x14ac:dyDescent="0.25">
      <c r="A240" s="2" t="s">
        <v>405</v>
      </c>
      <c r="B240" s="2" t="s">
        <v>406</v>
      </c>
    </row>
    <row r="241" spans="1:9" x14ac:dyDescent="0.25">
      <c r="A241" s="2" t="s">
        <v>407</v>
      </c>
      <c r="B241" s="2" t="s">
        <v>408</v>
      </c>
    </row>
    <row r="242" spans="1:9" x14ac:dyDescent="0.25">
      <c r="A242" s="3" t="s">
        <v>409</v>
      </c>
      <c r="B242" s="3" t="s">
        <v>410</v>
      </c>
      <c r="C242" s="15"/>
      <c r="D242" s="15"/>
      <c r="E242" s="4"/>
      <c r="F242" s="4"/>
      <c r="G242" s="15"/>
      <c r="I242" s="15">
        <f>SUM(I238:I241)</f>
        <v>0</v>
      </c>
    </row>
    <row r="243" spans="1:9" x14ac:dyDescent="0.25">
      <c r="A243" s="2" t="s">
        <v>12</v>
      </c>
      <c r="B243" s="2" t="s">
        <v>12</v>
      </c>
    </row>
    <row r="244" spans="1:9" ht="15.75" thickBot="1" x14ac:dyDescent="0.3">
      <c r="A244" s="5" t="s">
        <v>411</v>
      </c>
      <c r="B244" s="5" t="s">
        <v>49</v>
      </c>
      <c r="C244" s="16">
        <v>9989944</v>
      </c>
      <c r="D244" s="16">
        <v>10352085</v>
      </c>
      <c r="E244" s="6">
        <v>-3.5</v>
      </c>
      <c r="F244" s="6">
        <v>96.5</v>
      </c>
      <c r="G244" s="16">
        <v>-362141</v>
      </c>
      <c r="I244" s="16">
        <f>I236+I242</f>
        <v>11076200</v>
      </c>
    </row>
  </sheetData>
  <sheetProtection algorithmName="SHA-512" hashValue="Sd2tnM8GrBfwGA6wSBERRMyLTgKfJS+gMnMXMlJfgKrTGQUfXXEpFSc56vOSutmTtuLsu8InlbsGYcM20IVQ6g==" saltValue="oA/P2KIlXmzysX4+vCGkL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1D64F-028D-42BD-8CA9-A75189987AA1}">
  <dimension ref="A1:B11"/>
  <sheetViews>
    <sheetView workbookViewId="0">
      <selection activeCell="B12" sqref="B12"/>
    </sheetView>
  </sheetViews>
  <sheetFormatPr defaultRowHeight="15" x14ac:dyDescent="0.25"/>
  <cols>
    <col min="1" max="1" width="9.140625" style="34"/>
    <col min="2" max="2" width="122.7109375" customWidth="1"/>
  </cols>
  <sheetData>
    <row r="1" spans="1:2" x14ac:dyDescent="0.25">
      <c r="A1" s="34" t="s">
        <v>447</v>
      </c>
      <c r="B1" t="s">
        <v>445</v>
      </c>
    </row>
    <row r="3" spans="1:2" ht="45" x14ac:dyDescent="0.25">
      <c r="A3" s="37">
        <v>1</v>
      </c>
      <c r="B3" s="33" t="s">
        <v>448</v>
      </c>
    </row>
    <row r="4" spans="1:2" x14ac:dyDescent="0.25">
      <c r="A4" s="34">
        <v>2</v>
      </c>
      <c r="B4" s="33" t="s">
        <v>452</v>
      </c>
    </row>
    <row r="5" spans="1:2" x14ac:dyDescent="0.25">
      <c r="A5" s="34">
        <v>3</v>
      </c>
      <c r="B5" s="33" t="s">
        <v>451</v>
      </c>
    </row>
    <row r="6" spans="1:2" x14ac:dyDescent="0.25">
      <c r="A6" s="34">
        <v>4</v>
      </c>
      <c r="B6" s="33" t="s">
        <v>450</v>
      </c>
    </row>
    <row r="7" spans="1:2" x14ac:dyDescent="0.25">
      <c r="A7" s="34">
        <v>5</v>
      </c>
      <c r="B7" s="33" t="s">
        <v>449</v>
      </c>
    </row>
    <row r="8" spans="1:2" ht="30" x14ac:dyDescent="0.25">
      <c r="A8" s="34">
        <v>6</v>
      </c>
      <c r="B8" s="33" t="s">
        <v>453</v>
      </c>
    </row>
    <row r="9" spans="1:2" x14ac:dyDescent="0.25">
      <c r="A9" s="34">
        <v>7</v>
      </c>
      <c r="B9" s="33" t="s">
        <v>454</v>
      </c>
    </row>
    <row r="10" spans="1:2" x14ac:dyDescent="0.25">
      <c r="A10" s="34">
        <v>8</v>
      </c>
      <c r="B10" s="33" t="s">
        <v>455</v>
      </c>
    </row>
    <row r="11" spans="1:2" x14ac:dyDescent="0.25">
      <c r="A11" s="34">
        <v>9</v>
      </c>
      <c r="B11" s="33" t="s">
        <v>457</v>
      </c>
    </row>
  </sheetData>
  <sheetProtection algorithmName="SHA-512" hashValue="hr0fbBuCC2wn2UZhsa4xyE6MrNNFrS0Px6zz7CaWD/kY+B8sJRPOvnFm2M4fKx8UEt4KTniDqN1WqAL6SPkSkQ==" saltValue="IdBFLlC430ts/iqfoAXzT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1"/>
  <sheetViews>
    <sheetView topLeftCell="B1" zoomScaleNormal="90" workbookViewId="0">
      <pane ySplit="2" topLeftCell="A3" activePane="bottomLeft" state="frozen"/>
      <selection activeCell="B1" sqref="B1"/>
      <selection pane="bottomLeft" activeCell="K9" sqref="K9"/>
    </sheetView>
  </sheetViews>
  <sheetFormatPr defaultColWidth="9.140625" defaultRowHeight="15" x14ac:dyDescent="0.25"/>
  <cols>
    <col min="1" max="1" width="28.7109375" bestFit="1" customWidth="1"/>
    <col min="2" max="2" width="47.85546875" customWidth="1"/>
    <col min="3" max="4" width="15" style="10" hidden="1" customWidth="1"/>
    <col min="5" max="5" width="10.28515625" hidden="1" customWidth="1"/>
    <col min="6" max="6" width="19.42578125" hidden="1" customWidth="1"/>
    <col min="7" max="7" width="19" style="10" hidden="1" customWidth="1"/>
    <col min="8" max="8" width="6.85546875" style="34" bestFit="1" customWidth="1"/>
    <col min="9" max="9" width="19" style="24" customWidth="1"/>
    <col min="10" max="10" width="2.7109375" style="25" customWidth="1"/>
    <col min="11" max="12" width="15" style="24" bestFit="1" customWidth="1"/>
    <col min="13" max="15" width="14.140625" style="24" bestFit="1" customWidth="1"/>
    <col min="16" max="16" width="15.28515625" style="24" bestFit="1" customWidth="1"/>
    <col min="17" max="17" width="14.140625" style="24" bestFit="1" customWidth="1"/>
    <col min="18" max="18" width="15.28515625" style="24" bestFit="1" customWidth="1"/>
  </cols>
  <sheetData>
    <row r="1" spans="1:18" x14ac:dyDescent="0.25">
      <c r="A1" s="4" t="s">
        <v>430</v>
      </c>
    </row>
    <row r="2" spans="1:18" x14ac:dyDescent="0.25">
      <c r="C2" s="9" t="s">
        <v>7</v>
      </c>
      <c r="D2" s="9" t="s">
        <v>8</v>
      </c>
      <c r="E2" s="11" t="s">
        <v>9</v>
      </c>
      <c r="F2" s="11" t="s">
        <v>10</v>
      </c>
      <c r="G2" s="9" t="s">
        <v>11</v>
      </c>
      <c r="H2" s="35" t="s">
        <v>446</v>
      </c>
      <c r="I2" s="26" t="s">
        <v>429</v>
      </c>
      <c r="K2" s="27" t="s">
        <v>420</v>
      </c>
      <c r="L2" s="27" t="s">
        <v>421</v>
      </c>
      <c r="M2" s="27" t="s">
        <v>422</v>
      </c>
      <c r="N2" s="27" t="s">
        <v>423</v>
      </c>
      <c r="O2" s="27" t="s">
        <v>424</v>
      </c>
      <c r="P2" s="27" t="s">
        <v>425</v>
      </c>
      <c r="Q2" s="27" t="s">
        <v>426</v>
      </c>
      <c r="R2" s="27" t="s">
        <v>427</v>
      </c>
    </row>
    <row r="3" spans="1:18" x14ac:dyDescent="0.25">
      <c r="A3" s="3" t="s">
        <v>12</v>
      </c>
      <c r="B3" s="3" t="s">
        <v>13</v>
      </c>
      <c r="C3" s="12"/>
      <c r="D3" s="12"/>
      <c r="E3" s="4"/>
      <c r="F3" s="4"/>
      <c r="G3" s="12"/>
      <c r="I3" s="28"/>
      <c r="K3" s="29"/>
      <c r="L3" s="29"/>
      <c r="M3" s="29"/>
      <c r="N3" s="29"/>
      <c r="O3" s="29"/>
      <c r="P3" s="29"/>
      <c r="Q3" s="29"/>
      <c r="R3" s="29"/>
    </row>
    <row r="4" spans="1:18" x14ac:dyDescent="0.25">
      <c r="A4" s="2" t="s">
        <v>14</v>
      </c>
      <c r="B4" s="2" t="s">
        <v>15</v>
      </c>
      <c r="C4" s="10">
        <v>37897303.840000004</v>
      </c>
      <c r="D4" s="10">
        <v>68770616</v>
      </c>
      <c r="E4">
        <v>-44.89</v>
      </c>
      <c r="F4">
        <v>55.11</v>
      </c>
      <c r="G4" s="10">
        <v>-30873312.16</v>
      </c>
      <c r="I4" s="30">
        <f>SUM(K4:R4)</f>
        <v>68054988</v>
      </c>
      <c r="K4" s="24">
        <f>Administration!I10</f>
        <v>2382510</v>
      </c>
      <c r="L4" s="24">
        <f>Odense!I10</f>
        <v>19025825.5</v>
      </c>
      <c r="M4" s="24">
        <f>Laks!I10</f>
        <v>0</v>
      </c>
      <c r="N4" s="24">
        <f>Assens!I10</f>
        <v>8760598</v>
      </c>
      <c r="O4" s="24">
        <f>Nyborg!I10</f>
        <v>7093602.5</v>
      </c>
      <c r="P4" s="24">
        <f>Nordfyn!I10</f>
        <v>11054850</v>
      </c>
      <c r="Q4" s="24">
        <f>Kerteminde!I10</f>
        <v>8661402</v>
      </c>
      <c r="R4" s="24">
        <f>Særtilskud!I10</f>
        <v>11076200</v>
      </c>
    </row>
    <row r="5" spans="1:18" x14ac:dyDescent="0.25">
      <c r="A5" s="2" t="s">
        <v>16</v>
      </c>
      <c r="B5" s="2" t="s">
        <v>17</v>
      </c>
      <c r="C5" s="10">
        <v>3703508.34</v>
      </c>
      <c r="D5" s="10">
        <v>4540912.0599999996</v>
      </c>
      <c r="E5">
        <v>-18.440000000000001</v>
      </c>
      <c r="F5">
        <v>81.56</v>
      </c>
      <c r="G5" s="10">
        <v>-837403.72</v>
      </c>
      <c r="I5" s="30">
        <f>SUM(K5:R5)</f>
        <v>4375605.38</v>
      </c>
      <c r="K5" s="24">
        <f>Administration!I11</f>
        <v>30760</v>
      </c>
      <c r="L5" s="24">
        <f>Odense!I11</f>
        <v>745942.58000000007</v>
      </c>
      <c r="M5" s="24">
        <f>Laks!I11</f>
        <v>3098380</v>
      </c>
      <c r="N5" s="24">
        <f>Assens!I11</f>
        <v>218162</v>
      </c>
      <c r="O5" s="24">
        <f>Nyborg!I11</f>
        <v>65360.800000000003</v>
      </c>
      <c r="P5" s="24">
        <f>Nordfyn!I11</f>
        <v>140000</v>
      </c>
      <c r="Q5" s="24">
        <f>Kerteminde!I11</f>
        <v>77000</v>
      </c>
      <c r="R5" s="24">
        <f>Særtilskud!I11</f>
        <v>0</v>
      </c>
    </row>
    <row r="6" spans="1:18" x14ac:dyDescent="0.25">
      <c r="A6" s="2" t="s">
        <v>18</v>
      </c>
      <c r="B6" s="2" t="s">
        <v>19</v>
      </c>
      <c r="C6" s="10">
        <v>219433.85</v>
      </c>
      <c r="D6" s="10">
        <v>574516.53</v>
      </c>
      <c r="E6">
        <v>-61.81</v>
      </c>
      <c r="F6">
        <v>38.19</v>
      </c>
      <c r="G6" s="10">
        <v>-355082.68</v>
      </c>
      <c r="I6" s="30">
        <f>SUM(K6:R6)</f>
        <v>527626.28</v>
      </c>
      <c r="K6" s="24">
        <f>Administration!I12</f>
        <v>0</v>
      </c>
      <c r="L6" s="24">
        <f>Odense!I12</f>
        <v>473616.53</v>
      </c>
      <c r="M6" s="24">
        <f>Laks!I12</f>
        <v>0</v>
      </c>
      <c r="N6" s="24">
        <f>Assens!I12</f>
        <v>0</v>
      </c>
      <c r="O6" s="24">
        <f>Nyborg!I12</f>
        <v>54009.75</v>
      </c>
      <c r="P6" s="24">
        <f>Nordfyn!I12</f>
        <v>0</v>
      </c>
      <c r="Q6" s="24">
        <f>Kerteminde!I12</f>
        <v>0</v>
      </c>
      <c r="R6" s="24">
        <f>Særtilskud!I12</f>
        <v>0</v>
      </c>
    </row>
    <row r="7" spans="1:18" x14ac:dyDescent="0.25">
      <c r="A7" s="3" t="s">
        <v>20</v>
      </c>
      <c r="B7" s="3" t="s">
        <v>21</v>
      </c>
      <c r="C7" s="12">
        <v>41820246.030000001</v>
      </c>
      <c r="D7" s="12">
        <v>73886044.590000004</v>
      </c>
      <c r="E7" s="4">
        <v>-43.4</v>
      </c>
      <c r="F7" s="4">
        <v>56.6</v>
      </c>
      <c r="G7" s="12">
        <v>-32065798.559999999</v>
      </c>
      <c r="I7" s="28">
        <f>SUM(K7:R7)</f>
        <v>72958219.659999996</v>
      </c>
      <c r="K7" s="29">
        <f>Administration!I13</f>
        <v>2413270</v>
      </c>
      <c r="L7" s="29">
        <f>Odense!I13</f>
        <v>20245384.609999999</v>
      </c>
      <c r="M7" s="29">
        <f>Laks!I13</f>
        <v>3098380</v>
      </c>
      <c r="N7" s="29">
        <f>Assens!I13</f>
        <v>8978760</v>
      </c>
      <c r="O7" s="29">
        <f>Nyborg!I13</f>
        <v>7212973.0499999998</v>
      </c>
      <c r="P7" s="29">
        <f>Nordfyn!I13</f>
        <v>11194850</v>
      </c>
      <c r="Q7" s="29">
        <f>Kerteminde!I13</f>
        <v>8738402</v>
      </c>
      <c r="R7" s="29">
        <f>Særtilskud!I13</f>
        <v>11076200</v>
      </c>
    </row>
    <row r="8" spans="1:18" x14ac:dyDescent="0.25">
      <c r="A8" s="2" t="s">
        <v>12</v>
      </c>
      <c r="B8" s="2" t="s">
        <v>12</v>
      </c>
      <c r="I8" s="30"/>
    </row>
    <row r="9" spans="1:18" x14ac:dyDescent="0.25">
      <c r="A9" s="3" t="s">
        <v>12</v>
      </c>
      <c r="B9" s="3" t="s">
        <v>22</v>
      </c>
      <c r="C9" s="12"/>
      <c r="D9" s="12"/>
      <c r="E9" s="4"/>
      <c r="F9" s="4"/>
      <c r="G9" s="12"/>
      <c r="I9" s="28"/>
      <c r="K9" s="29"/>
      <c r="L9" s="29"/>
      <c r="M9" s="29"/>
      <c r="N9" s="29"/>
      <c r="O9" s="29"/>
      <c r="P9" s="29"/>
      <c r="Q9" s="29"/>
      <c r="R9" s="29"/>
    </row>
    <row r="10" spans="1:18" x14ac:dyDescent="0.25">
      <c r="A10" s="2" t="s">
        <v>23</v>
      </c>
      <c r="B10" s="2" t="s">
        <v>103</v>
      </c>
      <c r="I10" s="30"/>
      <c r="K10" s="24">
        <f>Administration!I16</f>
        <v>0</v>
      </c>
      <c r="L10" s="24">
        <f>Odense!I16</f>
        <v>0</v>
      </c>
      <c r="M10" s="24">
        <f>Laks!I16</f>
        <v>0</v>
      </c>
      <c r="N10" s="24">
        <f>Assens!I16</f>
        <v>0</v>
      </c>
      <c r="O10" s="24">
        <f>Nyborg!I16</f>
        <v>0</v>
      </c>
      <c r="P10" s="24">
        <f>Nordfyn!I16</f>
        <v>0</v>
      </c>
      <c r="Q10" s="24">
        <f>Kerteminde!I16</f>
        <v>0</v>
      </c>
      <c r="R10" s="24">
        <f>Særtilskud!I16</f>
        <v>0</v>
      </c>
    </row>
    <row r="11" spans="1:18" x14ac:dyDescent="0.25">
      <c r="A11" s="2" t="s">
        <v>25</v>
      </c>
      <c r="B11" s="2" t="s">
        <v>26</v>
      </c>
      <c r="C11" s="10">
        <v>-98178.84</v>
      </c>
      <c r="D11" s="10">
        <v>-150111.81</v>
      </c>
      <c r="E11">
        <v>-34.6</v>
      </c>
      <c r="F11">
        <v>65.400000000000006</v>
      </c>
      <c r="G11" s="10">
        <v>51932.97</v>
      </c>
      <c r="I11" s="30">
        <f>SUM(K11:R11)</f>
        <v>-127325.48999999999</v>
      </c>
      <c r="K11" s="24">
        <f>Administration!I17</f>
        <v>12600</v>
      </c>
      <c r="L11" s="24">
        <f>Odense!I17</f>
        <v>-7000</v>
      </c>
      <c r="M11" s="24">
        <f>Laks!I17</f>
        <v>-18879.09</v>
      </c>
      <c r="N11" s="24">
        <f>Assens!I17</f>
        <v>-36000</v>
      </c>
      <c r="O11" s="24">
        <f>Nyborg!I17</f>
        <v>-1000</v>
      </c>
      <c r="P11" s="24">
        <f>Nordfyn!I17</f>
        <v>0</v>
      </c>
      <c r="Q11" s="24">
        <f>Kerteminde!I17</f>
        <v>-77046.399999999994</v>
      </c>
      <c r="R11" s="24">
        <f>Særtilskud!I17</f>
        <v>0</v>
      </c>
    </row>
    <row r="12" spans="1:18" x14ac:dyDescent="0.25">
      <c r="A12" s="2" t="s">
        <v>27</v>
      </c>
      <c r="B12" s="2" t="s">
        <v>28</v>
      </c>
      <c r="I12" s="30">
        <f>SUM(K12:R12)</f>
        <v>0</v>
      </c>
      <c r="K12" s="24">
        <f>Administration!I18</f>
        <v>0</v>
      </c>
      <c r="L12" s="24">
        <f>Odense!I18</f>
        <v>0</v>
      </c>
      <c r="M12" s="24">
        <f>Laks!I18</f>
        <v>0</v>
      </c>
      <c r="N12" s="24">
        <f>Assens!I18</f>
        <v>0</v>
      </c>
      <c r="O12" s="24">
        <f>Nyborg!I18</f>
        <v>0</v>
      </c>
      <c r="P12" s="24">
        <f>Nordfyn!I18</f>
        <v>0</v>
      </c>
      <c r="Q12" s="24">
        <f>Kerteminde!I18</f>
        <v>0</v>
      </c>
      <c r="R12" s="24">
        <f>Særtilskud!I18</f>
        <v>0</v>
      </c>
    </row>
    <row r="13" spans="1:18" x14ac:dyDescent="0.25">
      <c r="A13" s="2" t="s">
        <v>12</v>
      </c>
      <c r="B13" s="2" t="s">
        <v>12</v>
      </c>
      <c r="I13" s="30"/>
      <c r="K13" s="24">
        <f>Administration!I19</f>
        <v>0</v>
      </c>
      <c r="L13" s="24">
        <f>Odense!I19</f>
        <v>0</v>
      </c>
      <c r="M13" s="24">
        <f>Laks!I19</f>
        <v>0</v>
      </c>
      <c r="N13" s="24">
        <f>Assens!I19</f>
        <v>0</v>
      </c>
      <c r="O13" s="24">
        <f>Nyborg!I19</f>
        <v>0</v>
      </c>
      <c r="P13" s="24">
        <f>Nordfyn!I19</f>
        <v>0</v>
      </c>
      <c r="Q13" s="24">
        <f>Kerteminde!I19</f>
        <v>0</v>
      </c>
      <c r="R13" s="24">
        <f>Særtilskud!I19</f>
        <v>0</v>
      </c>
    </row>
    <row r="14" spans="1:18" x14ac:dyDescent="0.25">
      <c r="A14" s="2" t="s">
        <v>29</v>
      </c>
      <c r="B14" s="2" t="s">
        <v>30</v>
      </c>
      <c r="C14" s="10">
        <v>-26931338.690000001</v>
      </c>
      <c r="D14" s="10">
        <v>-47360744.409999996</v>
      </c>
      <c r="E14">
        <v>-43.14</v>
      </c>
      <c r="F14">
        <v>56.86</v>
      </c>
      <c r="G14" s="10">
        <v>20429405.719999999</v>
      </c>
      <c r="I14" s="30">
        <f t="shared" ref="I14:I22" si="0">SUM(K14:R14)</f>
        <v>-46129114.930000007</v>
      </c>
      <c r="K14" s="24">
        <f>Administration!I20</f>
        <v>-7625168.4000000004</v>
      </c>
      <c r="L14" s="24">
        <f>Odense!I20</f>
        <v>-13222324.969999999</v>
      </c>
      <c r="M14" s="24">
        <f>Laks!I20</f>
        <v>-2058384.9999999998</v>
      </c>
      <c r="N14" s="24">
        <f>Assens!I20</f>
        <v>-5863995.9900000002</v>
      </c>
      <c r="O14" s="24">
        <f>Nyborg!I20</f>
        <v>-4912578.21</v>
      </c>
      <c r="P14" s="24">
        <f>Nordfyn!I20</f>
        <v>-7083927.2000000002</v>
      </c>
      <c r="Q14" s="24">
        <f>Kerteminde!I20</f>
        <v>-5362735.16</v>
      </c>
      <c r="R14" s="24">
        <f>Særtilskud!I20</f>
        <v>0</v>
      </c>
    </row>
    <row r="15" spans="1:18" x14ac:dyDescent="0.25">
      <c r="A15" s="3" t="s">
        <v>31</v>
      </c>
      <c r="B15" s="3" t="s">
        <v>32</v>
      </c>
      <c r="C15" s="12">
        <v>-27029517.530000001</v>
      </c>
      <c r="D15" s="12">
        <v>-47510856.219999999</v>
      </c>
      <c r="E15" s="4">
        <v>-43.11</v>
      </c>
      <c r="F15" s="4">
        <v>56.89</v>
      </c>
      <c r="G15" s="12">
        <v>20481338.690000001</v>
      </c>
      <c r="I15" s="28">
        <f t="shared" si="0"/>
        <v>-46256440.420000002</v>
      </c>
      <c r="K15" s="29">
        <f>Administration!I21</f>
        <v>-7612568.4000000004</v>
      </c>
      <c r="L15" s="29">
        <f>Odense!I21</f>
        <v>-13229324.969999999</v>
      </c>
      <c r="M15" s="29">
        <f>Laks!I21</f>
        <v>-2077264.0899999999</v>
      </c>
      <c r="N15" s="29">
        <f>Assens!I21</f>
        <v>-5899995.9900000002</v>
      </c>
      <c r="O15" s="29">
        <f>Nyborg!I21</f>
        <v>-4913578.21</v>
      </c>
      <c r="P15" s="29">
        <f>Nordfyn!I21</f>
        <v>-7083927.2000000002</v>
      </c>
      <c r="Q15" s="29">
        <f>Kerteminde!I21</f>
        <v>-5439781.5600000005</v>
      </c>
      <c r="R15" s="29">
        <f>Særtilskud!I21</f>
        <v>0</v>
      </c>
    </row>
    <row r="16" spans="1:18" x14ac:dyDescent="0.25">
      <c r="A16" s="2" t="s">
        <v>12</v>
      </c>
      <c r="B16" s="2" t="s">
        <v>12</v>
      </c>
      <c r="I16" s="30">
        <f t="shared" si="0"/>
        <v>0</v>
      </c>
      <c r="K16" s="24">
        <f>Administration!I22</f>
        <v>0</v>
      </c>
      <c r="L16" s="24">
        <f>Odense!I22</f>
        <v>0</v>
      </c>
      <c r="M16" s="24">
        <f>Laks!I22</f>
        <v>0</v>
      </c>
      <c r="N16" s="24">
        <f>Assens!I22</f>
        <v>0</v>
      </c>
      <c r="O16" s="24">
        <f>Nyborg!I22</f>
        <v>0</v>
      </c>
      <c r="P16" s="24">
        <f>Nordfyn!I22</f>
        <v>0</v>
      </c>
      <c r="Q16" s="24">
        <f>Kerteminde!I22</f>
        <v>0</v>
      </c>
      <c r="R16" s="24">
        <f>Særtilskud!I22</f>
        <v>0</v>
      </c>
    </row>
    <row r="17" spans="1:18" x14ac:dyDescent="0.25">
      <c r="A17" s="2" t="s">
        <v>33</v>
      </c>
      <c r="B17" s="2" t="s">
        <v>34</v>
      </c>
      <c r="C17" s="10">
        <v>576137.07999999996</v>
      </c>
      <c r="D17" s="10">
        <v>533570.23</v>
      </c>
      <c r="E17">
        <v>7.98</v>
      </c>
      <c r="F17">
        <v>107.98</v>
      </c>
      <c r="G17" s="10">
        <v>42566.85</v>
      </c>
      <c r="I17" s="30">
        <f t="shared" si="0"/>
        <v>267000</v>
      </c>
      <c r="K17" s="24">
        <f>Administration!I23</f>
        <v>0</v>
      </c>
      <c r="L17" s="24">
        <f>Odense!I23</f>
        <v>105000</v>
      </c>
      <c r="M17" s="24">
        <f>Laks!I23</f>
        <v>0</v>
      </c>
      <c r="N17" s="24">
        <f>Assens!I23</f>
        <v>50000</v>
      </c>
      <c r="O17" s="24">
        <f>Nyborg!I23</f>
        <v>25000</v>
      </c>
      <c r="P17" s="24">
        <f>Nordfyn!I23</f>
        <v>55000</v>
      </c>
      <c r="Q17" s="24">
        <f>Kerteminde!I23</f>
        <v>32000</v>
      </c>
      <c r="R17" s="24">
        <f>Særtilskud!I23</f>
        <v>0</v>
      </c>
    </row>
    <row r="18" spans="1:18" x14ac:dyDescent="0.25">
      <c r="A18" s="2" t="s">
        <v>35</v>
      </c>
      <c r="B18" s="2" t="s">
        <v>36</v>
      </c>
      <c r="C18" s="10">
        <v>-9245267.3300000001</v>
      </c>
      <c r="D18" s="10">
        <v>-25994836.359999999</v>
      </c>
      <c r="E18">
        <v>-64.430000000000007</v>
      </c>
      <c r="F18">
        <v>35.57</v>
      </c>
      <c r="G18" s="10">
        <v>16749569.029999999</v>
      </c>
      <c r="I18" s="30">
        <f t="shared" si="0"/>
        <v>-26165088.610000003</v>
      </c>
      <c r="K18" s="24">
        <f>Administration!I24</f>
        <v>5226498.3999999985</v>
      </c>
      <c r="L18" s="24">
        <f>Odense!I24</f>
        <v>-11385593.4593</v>
      </c>
      <c r="M18" s="24">
        <f>Laks!I24</f>
        <v>-2327762.2760000001</v>
      </c>
      <c r="N18" s="24">
        <f>Assens!I24</f>
        <v>-4620845.3635999998</v>
      </c>
      <c r="O18" s="24">
        <f>Nyborg!I24</f>
        <v>-3681361.8626999995</v>
      </c>
      <c r="P18" s="24">
        <f>Nordfyn!I24</f>
        <v>-5188397.2848000005</v>
      </c>
      <c r="Q18" s="24">
        <f>Kerteminde!I24</f>
        <v>-4187626.7635999997</v>
      </c>
      <c r="R18" s="24">
        <f>Særtilskud!I24</f>
        <v>0</v>
      </c>
    </row>
    <row r="19" spans="1:18" x14ac:dyDescent="0.25">
      <c r="A19" s="2" t="s">
        <v>37</v>
      </c>
      <c r="B19" s="2" t="s">
        <v>38</v>
      </c>
      <c r="C19" s="10">
        <v>29.66</v>
      </c>
      <c r="G19" s="10">
        <v>29.66</v>
      </c>
      <c r="I19" s="30">
        <f t="shared" si="0"/>
        <v>0</v>
      </c>
      <c r="K19" s="24">
        <f>Administration!I25</f>
        <v>0</v>
      </c>
      <c r="L19" s="24">
        <f>Odense!I25</f>
        <v>0</v>
      </c>
      <c r="M19" s="24">
        <f>Laks!I25</f>
        <v>0</v>
      </c>
      <c r="N19" s="24">
        <f>Assens!I25</f>
        <v>0</v>
      </c>
      <c r="O19" s="24">
        <f>Nyborg!I25</f>
        <v>0</v>
      </c>
      <c r="P19" s="24">
        <f>Nordfyn!I25</f>
        <v>0</v>
      </c>
      <c r="Q19" s="24">
        <f>Kerteminde!I25</f>
        <v>0</v>
      </c>
      <c r="R19" s="24">
        <f>Særtilskud!I25</f>
        <v>0</v>
      </c>
    </row>
    <row r="20" spans="1:18" x14ac:dyDescent="0.25">
      <c r="A20" s="2" t="s">
        <v>39</v>
      </c>
      <c r="B20" s="2" t="s">
        <v>40</v>
      </c>
      <c r="C20" s="10">
        <v>-118239.8</v>
      </c>
      <c r="D20" s="10">
        <v>-227100</v>
      </c>
      <c r="E20">
        <v>-47.93</v>
      </c>
      <c r="F20">
        <v>52.07</v>
      </c>
      <c r="G20" s="10">
        <v>108860.2</v>
      </c>
      <c r="I20" s="30">
        <f t="shared" si="0"/>
        <v>-192600</v>
      </c>
      <c r="K20" s="24">
        <f>Administration!I26</f>
        <v>-5000</v>
      </c>
      <c r="L20" s="24">
        <f>Odense!I26</f>
        <v>0</v>
      </c>
      <c r="M20" s="24">
        <f>Laks!I26</f>
        <v>0</v>
      </c>
      <c r="N20" s="24">
        <f>Assens!I26</f>
        <v>0</v>
      </c>
      <c r="O20" s="24">
        <f>Nyborg!I26</f>
        <v>0</v>
      </c>
      <c r="P20" s="24">
        <f>Nordfyn!I26</f>
        <v>-18800</v>
      </c>
      <c r="Q20" s="24">
        <f>Kerteminde!I26</f>
        <v>-168800</v>
      </c>
      <c r="R20" s="24">
        <f>Særtilskud!I26</f>
        <v>0</v>
      </c>
    </row>
    <row r="21" spans="1:18" x14ac:dyDescent="0.25">
      <c r="A21" s="2" t="s">
        <v>41</v>
      </c>
      <c r="B21" s="2" t="s">
        <v>42</v>
      </c>
      <c r="I21" s="30">
        <f t="shared" si="0"/>
        <v>0</v>
      </c>
      <c r="K21" s="24">
        <f>Administration!I27</f>
        <v>0</v>
      </c>
      <c r="L21" s="24">
        <f>Odense!I27</f>
        <v>0</v>
      </c>
      <c r="M21" s="24">
        <f>Laks!I27</f>
        <v>0</v>
      </c>
      <c r="N21" s="24">
        <f>Assens!I27</f>
        <v>0</v>
      </c>
      <c r="O21" s="24">
        <f>Nyborg!I27</f>
        <v>0</v>
      </c>
      <c r="P21" s="24">
        <f>Nordfyn!I27</f>
        <v>0</v>
      </c>
      <c r="Q21" s="24">
        <f>Kerteminde!I27</f>
        <v>0</v>
      </c>
      <c r="R21" s="24">
        <f>Særtilskud!I27</f>
        <v>0</v>
      </c>
    </row>
    <row r="22" spans="1:18" x14ac:dyDescent="0.25">
      <c r="A22" s="2" t="s">
        <v>43</v>
      </c>
      <c r="B22" s="2" t="s">
        <v>44</v>
      </c>
      <c r="I22" s="30">
        <f t="shared" si="0"/>
        <v>0</v>
      </c>
      <c r="K22" s="24">
        <f>Administration!I28</f>
        <v>0</v>
      </c>
      <c r="L22" s="24">
        <f>Odense!I28</f>
        <v>0</v>
      </c>
      <c r="M22" s="24">
        <f>Laks!I28</f>
        <v>0</v>
      </c>
      <c r="N22" s="24">
        <f>Assens!I28</f>
        <v>0</v>
      </c>
      <c r="O22" s="24">
        <f>Nyborg!I28</f>
        <v>0</v>
      </c>
      <c r="P22" s="24">
        <f>Nordfyn!I28</f>
        <v>0</v>
      </c>
      <c r="Q22" s="24">
        <f>Kerteminde!I28</f>
        <v>0</v>
      </c>
      <c r="R22" s="24">
        <f>Særtilskud!I28</f>
        <v>0</v>
      </c>
    </row>
    <row r="23" spans="1:18" x14ac:dyDescent="0.25">
      <c r="A23" s="2" t="s">
        <v>12</v>
      </c>
      <c r="B23" s="2" t="s">
        <v>12</v>
      </c>
      <c r="I23" s="30"/>
    </row>
    <row r="24" spans="1:18" ht="15.75" thickBot="1" x14ac:dyDescent="0.3">
      <c r="A24" s="5" t="s">
        <v>45</v>
      </c>
      <c r="B24" s="5" t="s">
        <v>46</v>
      </c>
      <c r="C24" s="13">
        <v>6003388.1100000003</v>
      </c>
      <c r="D24" s="13">
        <v>686822.24</v>
      </c>
      <c r="E24" s="6">
        <v>774.08</v>
      </c>
      <c r="F24" s="6">
        <v>874.08</v>
      </c>
      <c r="G24" s="13">
        <v>5316565.87</v>
      </c>
      <c r="I24" s="31">
        <f>SUM(K24:R24)</f>
        <v>611090.62999999709</v>
      </c>
      <c r="K24" s="32">
        <f>Administration!I30</f>
        <v>22199.999999998137</v>
      </c>
      <c r="L24" s="32">
        <f>Odense!I30</f>
        <v>-4264533.8192999996</v>
      </c>
      <c r="M24" s="32">
        <f>Laks!I30</f>
        <v>-1306646.3659999999</v>
      </c>
      <c r="N24" s="32">
        <f>Assens!I30</f>
        <v>-1492081.3536</v>
      </c>
      <c r="O24" s="32">
        <f>Nyborg!I30</f>
        <v>-1356967.0226999996</v>
      </c>
      <c r="P24" s="32">
        <f>Nordfyn!I30</f>
        <v>-1041274.4848000007</v>
      </c>
      <c r="Q24" s="32">
        <f>Kerteminde!I30</f>
        <v>-1025806.3236000002</v>
      </c>
      <c r="R24" s="32">
        <f>Særtilskud!I30</f>
        <v>11076200</v>
      </c>
    </row>
    <row r="25" spans="1:18" ht="15.75" thickTop="1" x14ac:dyDescent="0.25">
      <c r="A25" s="2" t="s">
        <v>12</v>
      </c>
      <c r="B25" s="2" t="s">
        <v>12</v>
      </c>
      <c r="I25" s="30"/>
    </row>
    <row r="26" spans="1:18" x14ac:dyDescent="0.25">
      <c r="A26" s="2" t="s">
        <v>47</v>
      </c>
      <c r="B26" s="2" t="s">
        <v>48</v>
      </c>
      <c r="C26" s="10">
        <v>-1094911.3400000001</v>
      </c>
      <c r="D26" s="10">
        <v>-2734907.13</v>
      </c>
      <c r="E26">
        <v>-59.97</v>
      </c>
      <c r="F26">
        <v>40.03</v>
      </c>
      <c r="G26" s="10">
        <v>1639995.79</v>
      </c>
      <c r="I26" s="30">
        <f>SUM(K26:R26)</f>
        <v>-1758847.33</v>
      </c>
      <c r="K26" s="24">
        <f>Administration!I32</f>
        <v>-22200</v>
      </c>
      <c r="L26" s="24">
        <f>Odense!I32</f>
        <v>-742730.58</v>
      </c>
      <c r="M26" s="24">
        <f>Laks!I32</f>
        <v>-906.4</v>
      </c>
      <c r="N26" s="24">
        <f>Assens!I32</f>
        <v>-309360.44</v>
      </c>
      <c r="O26" s="24">
        <f>Nyborg!I32</f>
        <v>-148000</v>
      </c>
      <c r="P26" s="24">
        <f>Nordfyn!I32</f>
        <v>-352681.59</v>
      </c>
      <c r="Q26" s="24">
        <f>Kerteminde!I32</f>
        <v>-182968.32000000001</v>
      </c>
      <c r="R26" s="24">
        <f>Særtilskud!I32</f>
        <v>0</v>
      </c>
    </row>
    <row r="27" spans="1:18" x14ac:dyDescent="0.25">
      <c r="A27" s="2" t="s">
        <v>12</v>
      </c>
      <c r="B27" s="2" t="s">
        <v>12</v>
      </c>
      <c r="I27" s="30"/>
    </row>
    <row r="28" spans="1:18" ht="15.75" thickBot="1" x14ac:dyDescent="0.3">
      <c r="A28" s="5" t="s">
        <v>12</v>
      </c>
      <c r="B28" s="5" t="s">
        <v>49</v>
      </c>
      <c r="C28" s="13">
        <v>4908476.7699999996</v>
      </c>
      <c r="D28" s="13">
        <v>-2048084.89</v>
      </c>
      <c r="E28" s="6">
        <v>-339.66</v>
      </c>
      <c r="F28" s="6">
        <v>-239.66</v>
      </c>
      <c r="G28" s="13">
        <v>6956561.6600000001</v>
      </c>
      <c r="I28" s="31">
        <f>SUM(K28:R28)</f>
        <v>-1147756.700000003</v>
      </c>
      <c r="K28" s="32">
        <f>Administration!I34</f>
        <v>-1.862645149230957E-9</v>
      </c>
      <c r="L28" s="32">
        <f>Odense!I34</f>
        <v>-5007264.3992999997</v>
      </c>
      <c r="M28" s="32">
        <f>Laks!I34</f>
        <v>-1307552.7659999998</v>
      </c>
      <c r="N28" s="32">
        <f>Assens!I34</f>
        <v>-1801441.7936</v>
      </c>
      <c r="O28" s="32">
        <f>Nyborg!I34</f>
        <v>-1504967.0226999996</v>
      </c>
      <c r="P28" s="32">
        <f>Nordfyn!I34</f>
        <v>-1393956.0748000008</v>
      </c>
      <c r="Q28" s="32">
        <f>Kerteminde!I34</f>
        <v>-1208774.6436000003</v>
      </c>
      <c r="R28" s="32">
        <f>Særtilskud!I34</f>
        <v>11076200</v>
      </c>
    </row>
    <row r="29" spans="1:18" ht="15.75" thickTop="1" x14ac:dyDescent="0.25">
      <c r="A29" s="2" t="s">
        <v>12</v>
      </c>
      <c r="B29" s="2" t="s">
        <v>12</v>
      </c>
      <c r="I29" s="30"/>
    </row>
    <row r="30" spans="1:18" x14ac:dyDescent="0.25">
      <c r="A30" s="3" t="s">
        <v>12</v>
      </c>
      <c r="B30" s="3" t="s">
        <v>50</v>
      </c>
      <c r="C30" s="12"/>
      <c r="D30" s="12"/>
      <c r="E30" s="4"/>
      <c r="F30" s="4"/>
      <c r="G30" s="12"/>
      <c r="I30" s="28"/>
      <c r="K30" s="29"/>
      <c r="L30" s="29"/>
      <c r="M30" s="29"/>
      <c r="N30" s="29"/>
      <c r="O30" s="29"/>
      <c r="P30" s="29"/>
      <c r="Q30" s="29"/>
      <c r="R30" s="29"/>
    </row>
    <row r="31" spans="1:18" x14ac:dyDescent="0.25">
      <c r="A31" s="2" t="s">
        <v>12</v>
      </c>
      <c r="B31" s="2" t="s">
        <v>12</v>
      </c>
      <c r="I31" s="30"/>
    </row>
    <row r="32" spans="1:18" x14ac:dyDescent="0.25">
      <c r="A32" s="3" t="s">
        <v>51</v>
      </c>
      <c r="B32" s="3" t="s">
        <v>52</v>
      </c>
      <c r="C32" s="12"/>
      <c r="D32" s="12"/>
      <c r="E32" s="4"/>
      <c r="F32" s="4"/>
      <c r="G32" s="12"/>
      <c r="I32" s="28"/>
      <c r="K32" s="29"/>
      <c r="L32" s="29"/>
      <c r="M32" s="29"/>
      <c r="N32" s="29"/>
      <c r="O32" s="29"/>
      <c r="P32" s="29"/>
      <c r="Q32" s="29"/>
      <c r="R32" s="29"/>
    </row>
    <row r="33" spans="1:18" x14ac:dyDescent="0.25">
      <c r="A33" s="2" t="s">
        <v>53</v>
      </c>
      <c r="B33" s="2" t="s">
        <v>54</v>
      </c>
      <c r="C33" s="10">
        <v>20898396.469999999</v>
      </c>
      <c r="D33" s="10">
        <v>41002274</v>
      </c>
      <c r="E33">
        <v>-49.03</v>
      </c>
      <c r="F33">
        <v>50.97</v>
      </c>
      <c r="G33" s="10">
        <v>-20103877.530000001</v>
      </c>
      <c r="I33" s="30">
        <f t="shared" ref="I33:I39" si="1">SUM(K33:R33)</f>
        <v>39371168</v>
      </c>
      <c r="K33" s="24">
        <f>Administration!I39</f>
        <v>0</v>
      </c>
      <c r="L33" s="24">
        <f>Odense!I39</f>
        <v>15372405</v>
      </c>
      <c r="M33" s="24">
        <f>Laks!I39</f>
        <v>0</v>
      </c>
      <c r="N33" s="24">
        <f>Assens!I39</f>
        <v>5861772</v>
      </c>
      <c r="O33" s="24">
        <f>Nyborg!I39</f>
        <v>4379699</v>
      </c>
      <c r="P33" s="24">
        <f>Nordfyn!I39</f>
        <v>7922128</v>
      </c>
      <c r="Q33" s="24">
        <f>Kerteminde!I39</f>
        <v>5835164</v>
      </c>
      <c r="R33" s="24">
        <f>Særtilskud!I39</f>
        <v>0</v>
      </c>
    </row>
    <row r="34" spans="1:18" x14ac:dyDescent="0.25">
      <c r="A34" s="2" t="s">
        <v>55</v>
      </c>
      <c r="B34" s="2" t="s">
        <v>56</v>
      </c>
      <c r="C34" s="10">
        <v>1160172.8799999999</v>
      </c>
      <c r="D34" s="10">
        <v>1883404</v>
      </c>
      <c r="E34">
        <v>-38.4</v>
      </c>
      <c r="F34">
        <v>61.6</v>
      </c>
      <c r="G34" s="10">
        <v>-723231.12</v>
      </c>
      <c r="I34" s="30">
        <f t="shared" si="1"/>
        <v>3159640</v>
      </c>
      <c r="K34" s="24">
        <f>Administration!I40</f>
        <v>0</v>
      </c>
      <c r="L34" s="24">
        <f>Odense!I40</f>
        <v>1224360.5</v>
      </c>
      <c r="M34" s="24">
        <f>Laks!I40</f>
        <v>0</v>
      </c>
      <c r="N34" s="24">
        <f>Assens!I40</f>
        <v>473946</v>
      </c>
      <c r="O34" s="24">
        <f>Nyborg!I40</f>
        <v>355459.5</v>
      </c>
      <c r="P34" s="24">
        <f>Nordfyn!I40</f>
        <v>631928</v>
      </c>
      <c r="Q34" s="24">
        <f>Kerteminde!I40</f>
        <v>473946</v>
      </c>
      <c r="R34" s="24">
        <f>Særtilskud!I40</f>
        <v>0</v>
      </c>
    </row>
    <row r="35" spans="1:18" x14ac:dyDescent="0.25">
      <c r="A35" s="2" t="s">
        <v>57</v>
      </c>
      <c r="B35" s="2" t="s">
        <v>58</v>
      </c>
      <c r="C35" s="10">
        <v>57731.79</v>
      </c>
      <c r="D35" s="10">
        <v>537285</v>
      </c>
      <c r="E35">
        <v>-89.25</v>
      </c>
      <c r="F35">
        <v>10.75</v>
      </c>
      <c r="G35" s="10">
        <v>-479553.21</v>
      </c>
      <c r="I35" s="30">
        <f t="shared" si="1"/>
        <v>427050</v>
      </c>
      <c r="K35" s="24">
        <f>Administration!I41</f>
        <v>0</v>
      </c>
      <c r="L35" s="24">
        <f>Odense!I41</f>
        <v>43800</v>
      </c>
      <c r="M35" s="24">
        <f>Laks!I41</f>
        <v>0</v>
      </c>
      <c r="N35" s="24">
        <f>Assens!I41</f>
        <v>87600</v>
      </c>
      <c r="O35" s="24">
        <f>Nyborg!I41</f>
        <v>54750</v>
      </c>
      <c r="P35" s="24">
        <f>Nordfyn!I41</f>
        <v>197100</v>
      </c>
      <c r="Q35" s="24">
        <f>Kerteminde!I41</f>
        <v>43800</v>
      </c>
      <c r="R35" s="24">
        <f>Særtilskud!I41</f>
        <v>0</v>
      </c>
    </row>
    <row r="36" spans="1:18" x14ac:dyDescent="0.25">
      <c r="A36" s="2" t="s">
        <v>59</v>
      </c>
      <c r="B36" s="2" t="s">
        <v>60</v>
      </c>
      <c r="C36" s="10">
        <v>61847.7</v>
      </c>
      <c r="D36" s="10">
        <v>3838318</v>
      </c>
      <c r="E36">
        <v>-98.39</v>
      </c>
      <c r="F36">
        <v>1.61</v>
      </c>
      <c r="G36" s="10">
        <v>-3776470.3</v>
      </c>
      <c r="I36" s="30">
        <f t="shared" si="1"/>
        <v>191920</v>
      </c>
      <c r="K36" s="24">
        <f>Administration!I42</f>
        <v>0</v>
      </c>
      <c r="L36" s="24">
        <f>Odense!I42</f>
        <v>95960</v>
      </c>
      <c r="M36" s="24">
        <f>Laks!I42</f>
        <v>0</v>
      </c>
      <c r="N36" s="24">
        <f>Assens!I42</f>
        <v>47980</v>
      </c>
      <c r="O36" s="24">
        <f>Nyborg!I42</f>
        <v>14394</v>
      </c>
      <c r="P36" s="24">
        <f>Nordfyn!I42</f>
        <v>14394</v>
      </c>
      <c r="Q36" s="24">
        <f>Kerteminde!I42</f>
        <v>19192</v>
      </c>
      <c r="R36" s="24">
        <f>Særtilskud!I42</f>
        <v>0</v>
      </c>
    </row>
    <row r="37" spans="1:18" x14ac:dyDescent="0.25">
      <c r="A37" s="2" t="s">
        <v>61</v>
      </c>
      <c r="B37" s="2" t="s">
        <v>62</v>
      </c>
      <c r="C37" s="10">
        <v>5594210</v>
      </c>
      <c r="D37" s="10">
        <v>11157250</v>
      </c>
      <c r="E37">
        <v>-49.86</v>
      </c>
      <c r="F37">
        <v>50.14</v>
      </c>
      <c r="G37" s="10">
        <v>-5563040</v>
      </c>
      <c r="H37" s="34">
        <v>6</v>
      </c>
      <c r="I37" s="30">
        <f t="shared" si="1"/>
        <v>13829010</v>
      </c>
      <c r="K37" s="24">
        <f>Administration!I43</f>
        <v>2382510</v>
      </c>
      <c r="L37" s="24">
        <f>Odense!I43</f>
        <v>2289300</v>
      </c>
      <c r="M37" s="24">
        <f>Laks!I43</f>
        <v>0</v>
      </c>
      <c r="N37" s="24">
        <f>Assens!I43</f>
        <v>2289300</v>
      </c>
      <c r="O37" s="24">
        <f>Nyborg!I43</f>
        <v>2289300</v>
      </c>
      <c r="P37" s="24">
        <f>Nordfyn!I43</f>
        <v>2289300</v>
      </c>
      <c r="Q37" s="24">
        <f>Kerteminde!I43</f>
        <v>2289300</v>
      </c>
      <c r="R37" s="24">
        <f>Særtilskud!I43</f>
        <v>0</v>
      </c>
    </row>
    <row r="38" spans="1:18" x14ac:dyDescent="0.25">
      <c r="A38" s="2" t="s">
        <v>63</v>
      </c>
      <c r="B38" s="2" t="s">
        <v>64</v>
      </c>
      <c r="C38" s="10">
        <v>10124945</v>
      </c>
      <c r="D38" s="10">
        <v>10352085</v>
      </c>
      <c r="E38">
        <v>-2.19</v>
      </c>
      <c r="F38">
        <v>97.81</v>
      </c>
      <c r="G38" s="10">
        <v>-227140</v>
      </c>
      <c r="I38" s="30">
        <f t="shared" si="1"/>
        <v>11076200</v>
      </c>
      <c r="K38" s="24">
        <f>Administration!I44</f>
        <v>0</v>
      </c>
      <c r="L38" s="24">
        <f>Odense!I44</f>
        <v>0</v>
      </c>
      <c r="M38" s="24">
        <f>Laks!I44</f>
        <v>0</v>
      </c>
      <c r="N38" s="24">
        <f>Assens!I44</f>
        <v>0</v>
      </c>
      <c r="O38" s="24">
        <f>Nyborg!I44</f>
        <v>0</v>
      </c>
      <c r="P38" s="24">
        <f>Nordfyn!I44</f>
        <v>0</v>
      </c>
      <c r="Q38" s="24">
        <f>Kerteminde!I44</f>
        <v>0</v>
      </c>
      <c r="R38" s="24">
        <f>Særtilskud!I44</f>
        <v>11076200</v>
      </c>
    </row>
    <row r="39" spans="1:18" x14ac:dyDescent="0.25">
      <c r="A39" s="3" t="s">
        <v>65</v>
      </c>
      <c r="B39" s="3" t="s">
        <v>66</v>
      </c>
      <c r="C39" s="12">
        <v>37897303.840000004</v>
      </c>
      <c r="D39" s="12">
        <v>68770616</v>
      </c>
      <c r="E39" s="4">
        <v>-44.89</v>
      </c>
      <c r="F39" s="4">
        <v>55.11</v>
      </c>
      <c r="G39" s="12">
        <v>-30873312.16</v>
      </c>
      <c r="I39" s="28">
        <f t="shared" si="1"/>
        <v>68054988</v>
      </c>
      <c r="K39" s="29">
        <f>Administration!I45</f>
        <v>2382510</v>
      </c>
      <c r="L39" s="29">
        <f>Odense!I45</f>
        <v>19025825.5</v>
      </c>
      <c r="M39" s="29">
        <f>Laks!I45</f>
        <v>0</v>
      </c>
      <c r="N39" s="29">
        <f>Assens!I45</f>
        <v>8760598</v>
      </c>
      <c r="O39" s="29">
        <f>Nyborg!I45</f>
        <v>7093602.5</v>
      </c>
      <c r="P39" s="29">
        <f>Nordfyn!I45</f>
        <v>11054850</v>
      </c>
      <c r="Q39" s="29">
        <f>Kerteminde!I45</f>
        <v>8661402</v>
      </c>
      <c r="R39" s="29">
        <f>Særtilskud!I45</f>
        <v>11076200</v>
      </c>
    </row>
    <row r="40" spans="1:18" x14ac:dyDescent="0.25">
      <c r="A40" s="2" t="s">
        <v>12</v>
      </c>
      <c r="B40" s="2" t="s">
        <v>12</v>
      </c>
      <c r="I40" s="30"/>
      <c r="K40" s="24">
        <f>Administration!I46</f>
        <v>0</v>
      </c>
      <c r="L40" s="24">
        <f>Odense!I46</f>
        <v>0</v>
      </c>
      <c r="M40" s="24">
        <f>Laks!I46</f>
        <v>0</v>
      </c>
      <c r="N40" s="24">
        <f>Assens!I46</f>
        <v>0</v>
      </c>
      <c r="O40" s="24">
        <f>Nyborg!I46</f>
        <v>0</v>
      </c>
      <c r="P40" s="24">
        <f>Nordfyn!I46</f>
        <v>0</v>
      </c>
      <c r="Q40" s="24">
        <f>Kerteminde!I46</f>
        <v>0</v>
      </c>
      <c r="R40" s="24">
        <f>Særtilskud!I46</f>
        <v>0</v>
      </c>
    </row>
    <row r="41" spans="1:18" x14ac:dyDescent="0.25">
      <c r="A41" s="3" t="s">
        <v>67</v>
      </c>
      <c r="B41" s="3" t="s">
        <v>68</v>
      </c>
      <c r="C41" s="12"/>
      <c r="D41" s="12"/>
      <c r="E41" s="4"/>
      <c r="F41" s="4"/>
      <c r="G41" s="12"/>
      <c r="I41" s="28"/>
      <c r="K41" s="29">
        <f>Administration!I47</f>
        <v>0</v>
      </c>
      <c r="L41" s="29">
        <f>Odense!I47</f>
        <v>0</v>
      </c>
      <c r="M41" s="29">
        <f>Laks!I47</f>
        <v>0</v>
      </c>
      <c r="N41" s="29">
        <f>Assens!I47</f>
        <v>0</v>
      </c>
      <c r="O41" s="29">
        <f>Nyborg!I47</f>
        <v>0</v>
      </c>
      <c r="P41" s="29">
        <f>Nordfyn!I47</f>
        <v>0</v>
      </c>
      <c r="Q41" s="29">
        <f>Kerteminde!I47</f>
        <v>0</v>
      </c>
      <c r="R41" s="29">
        <f>Særtilskud!I47</f>
        <v>0</v>
      </c>
    </row>
    <row r="42" spans="1:18" x14ac:dyDescent="0.25">
      <c r="A42" s="2" t="s">
        <v>69</v>
      </c>
      <c r="B42" s="2" t="s">
        <v>70</v>
      </c>
      <c r="I42" s="30">
        <f t="shared" ref="I42:I49" si="2">SUM(K42:R42)</f>
        <v>0</v>
      </c>
      <c r="K42" s="24">
        <f>Administration!I48</f>
        <v>0</v>
      </c>
      <c r="L42" s="24">
        <f>Odense!I48</f>
        <v>0</v>
      </c>
      <c r="M42" s="24">
        <f>Laks!I48</f>
        <v>0</v>
      </c>
      <c r="N42" s="24">
        <f>Assens!I48</f>
        <v>0</v>
      </c>
      <c r="O42" s="24">
        <f>Nyborg!I48</f>
        <v>0</v>
      </c>
      <c r="P42" s="24">
        <f>Nordfyn!I48</f>
        <v>0</v>
      </c>
      <c r="Q42" s="24">
        <f>Kerteminde!I48</f>
        <v>0</v>
      </c>
      <c r="R42" s="24">
        <f>Særtilskud!I48</f>
        <v>0</v>
      </c>
    </row>
    <row r="43" spans="1:18" x14ac:dyDescent="0.25">
      <c r="A43" s="2" t="s">
        <v>71</v>
      </c>
      <c r="B43" s="2" t="s">
        <v>72</v>
      </c>
      <c r="C43" s="10">
        <v>19700.900000000001</v>
      </c>
      <c r="G43" s="10">
        <v>19700.900000000001</v>
      </c>
      <c r="I43" s="30">
        <f t="shared" si="2"/>
        <v>0</v>
      </c>
      <c r="K43" s="24">
        <f>Administration!I49</f>
        <v>0</v>
      </c>
      <c r="L43" s="24">
        <f>Odense!I49</f>
        <v>0</v>
      </c>
      <c r="M43" s="24">
        <f>Laks!I49</f>
        <v>0</v>
      </c>
      <c r="N43" s="24">
        <f>Assens!I49</f>
        <v>0</v>
      </c>
      <c r="O43" s="24">
        <f>Nyborg!I49</f>
        <v>0</v>
      </c>
      <c r="P43" s="24">
        <f>Nordfyn!I49</f>
        <v>0</v>
      </c>
      <c r="Q43" s="24">
        <f>Kerteminde!I49</f>
        <v>0</v>
      </c>
      <c r="R43" s="24">
        <f>Særtilskud!I49</f>
        <v>0</v>
      </c>
    </row>
    <row r="44" spans="1:18" x14ac:dyDescent="0.25">
      <c r="A44" s="2" t="s">
        <v>73</v>
      </c>
      <c r="B44" s="2" t="s">
        <v>74</v>
      </c>
      <c r="D44" s="10">
        <v>50000</v>
      </c>
      <c r="E44">
        <v>-100</v>
      </c>
      <c r="G44" s="10">
        <v>-50000</v>
      </c>
      <c r="I44" s="30">
        <f t="shared" si="2"/>
        <v>50000</v>
      </c>
      <c r="K44" s="24">
        <f>Administration!I50</f>
        <v>0</v>
      </c>
      <c r="L44" s="24">
        <f>Odense!I50</f>
        <v>50000</v>
      </c>
      <c r="M44" s="24">
        <f>Laks!I50</f>
        <v>0</v>
      </c>
      <c r="N44" s="24">
        <f>Assens!I50</f>
        <v>0</v>
      </c>
      <c r="O44" s="24">
        <f>Nyborg!I50</f>
        <v>0</v>
      </c>
      <c r="P44" s="24">
        <f>Nordfyn!I50</f>
        <v>0</v>
      </c>
      <c r="Q44" s="24">
        <f>Kerteminde!I50</f>
        <v>0</v>
      </c>
      <c r="R44" s="24">
        <f>Særtilskud!I50</f>
        <v>0</v>
      </c>
    </row>
    <row r="45" spans="1:18" x14ac:dyDescent="0.25">
      <c r="A45" s="2" t="s">
        <v>75</v>
      </c>
      <c r="B45" s="2" t="s">
        <v>76</v>
      </c>
      <c r="C45" s="10">
        <v>165531.54999999999</v>
      </c>
      <c r="D45" s="10">
        <v>278162</v>
      </c>
      <c r="E45">
        <v>-40.49</v>
      </c>
      <c r="F45">
        <v>59.51</v>
      </c>
      <c r="G45" s="10">
        <v>-112630.45</v>
      </c>
      <c r="I45" s="30">
        <f t="shared" si="2"/>
        <v>191693.55</v>
      </c>
      <c r="K45" s="24">
        <f>Administration!I51</f>
        <v>0</v>
      </c>
      <c r="L45" s="24">
        <f>Odense!I51</f>
        <v>123531.55</v>
      </c>
      <c r="M45" s="24">
        <f>Laks!I51</f>
        <v>0</v>
      </c>
      <c r="N45" s="24">
        <f>Assens!I51</f>
        <v>18162</v>
      </c>
      <c r="O45" s="24">
        <f>Nyborg!I51</f>
        <v>0</v>
      </c>
      <c r="P45" s="24">
        <f>Nordfyn!I51</f>
        <v>50000</v>
      </c>
      <c r="Q45" s="24">
        <f>Kerteminde!I51</f>
        <v>0</v>
      </c>
      <c r="R45" s="24">
        <f>Særtilskud!I51</f>
        <v>0</v>
      </c>
    </row>
    <row r="46" spans="1:18" x14ac:dyDescent="0.25">
      <c r="A46" s="2" t="s">
        <v>77</v>
      </c>
      <c r="B46" s="2" t="s">
        <v>78</v>
      </c>
      <c r="C46" s="10">
        <v>55700</v>
      </c>
      <c r="D46" s="10">
        <v>22054</v>
      </c>
      <c r="E46">
        <v>152.56</v>
      </c>
      <c r="F46">
        <v>252.56</v>
      </c>
      <c r="G46" s="10">
        <v>33646</v>
      </c>
      <c r="I46" s="30">
        <f t="shared" si="2"/>
        <v>62000</v>
      </c>
      <c r="K46" s="24">
        <f>Administration!I52</f>
        <v>0</v>
      </c>
      <c r="L46" s="24">
        <f>Odense!I52</f>
        <v>35000</v>
      </c>
      <c r="M46" s="24">
        <f>Laks!I52</f>
        <v>0</v>
      </c>
      <c r="N46" s="24">
        <f>Assens!I52</f>
        <v>0</v>
      </c>
      <c r="O46" s="24">
        <f>Nyborg!I52</f>
        <v>0</v>
      </c>
      <c r="P46" s="24">
        <f>Nordfyn!I52</f>
        <v>0</v>
      </c>
      <c r="Q46" s="24">
        <f>Kerteminde!I52</f>
        <v>27000</v>
      </c>
      <c r="R46" s="24">
        <f>Særtilskud!I52</f>
        <v>0</v>
      </c>
    </row>
    <row r="47" spans="1:18" x14ac:dyDescent="0.25">
      <c r="A47" s="2" t="s">
        <v>79</v>
      </c>
      <c r="B47" s="2" t="s">
        <v>80</v>
      </c>
      <c r="D47" s="10">
        <v>27243</v>
      </c>
      <c r="E47">
        <v>-100</v>
      </c>
      <c r="G47" s="10">
        <v>-27243</v>
      </c>
      <c r="I47" s="30">
        <f t="shared" si="2"/>
        <v>0</v>
      </c>
      <c r="K47" s="24">
        <f>Administration!I53</f>
        <v>0</v>
      </c>
      <c r="L47" s="24">
        <f>Odense!I53</f>
        <v>0</v>
      </c>
      <c r="M47" s="24">
        <f>Laks!I53</f>
        <v>0</v>
      </c>
      <c r="N47" s="24">
        <f>Assens!I53</f>
        <v>0</v>
      </c>
      <c r="O47" s="24">
        <f>Nyborg!I53</f>
        <v>0</v>
      </c>
      <c r="P47" s="24">
        <f>Nordfyn!I53</f>
        <v>0</v>
      </c>
      <c r="Q47" s="24">
        <f>Kerteminde!I53</f>
        <v>0</v>
      </c>
      <c r="R47" s="24">
        <f>Særtilskud!I53</f>
        <v>0</v>
      </c>
    </row>
    <row r="48" spans="1:18" x14ac:dyDescent="0.25">
      <c r="A48" s="2" t="s">
        <v>81</v>
      </c>
      <c r="B48" s="2" t="s">
        <v>82</v>
      </c>
      <c r="C48" s="10">
        <v>3061892.93</v>
      </c>
      <c r="D48" s="10">
        <v>3576625</v>
      </c>
      <c r="E48">
        <v>-14.39</v>
      </c>
      <c r="F48">
        <v>85.61</v>
      </c>
      <c r="G48" s="10">
        <v>-514732.07</v>
      </c>
      <c r="I48" s="30">
        <f t="shared" si="2"/>
        <v>3548830</v>
      </c>
      <c r="K48" s="24">
        <f>Administration!I54</f>
        <v>0</v>
      </c>
      <c r="L48" s="24">
        <f>Odense!I54</f>
        <v>250000</v>
      </c>
      <c r="M48" s="24">
        <f>Laks!I54</f>
        <v>3098380</v>
      </c>
      <c r="N48" s="24">
        <f>Assens!I54</f>
        <v>150000</v>
      </c>
      <c r="O48" s="24">
        <f>Nyborg!I54</f>
        <v>50450</v>
      </c>
      <c r="P48" s="24">
        <f>Nordfyn!I54</f>
        <v>0</v>
      </c>
      <c r="Q48" s="24">
        <f>Kerteminde!I54</f>
        <v>0</v>
      </c>
      <c r="R48" s="24">
        <f>Særtilskud!I54</f>
        <v>0</v>
      </c>
    </row>
    <row r="49" spans="1:18" x14ac:dyDescent="0.25">
      <c r="A49" s="2" t="s">
        <v>83</v>
      </c>
      <c r="B49" s="2" t="s">
        <v>84</v>
      </c>
      <c r="C49" s="10">
        <v>376335.94</v>
      </c>
      <c r="D49" s="10">
        <v>235765</v>
      </c>
      <c r="E49">
        <v>59.62</v>
      </c>
      <c r="F49">
        <v>159.62</v>
      </c>
      <c r="G49" s="10">
        <v>140570.94</v>
      </c>
      <c r="I49" s="30">
        <f t="shared" si="2"/>
        <v>503081.83</v>
      </c>
      <c r="K49" s="24">
        <f>Administration!I55</f>
        <v>30760</v>
      </c>
      <c r="L49" s="24">
        <f>Odense!I55</f>
        <v>267411.03000000003</v>
      </c>
      <c r="M49" s="24">
        <f>Laks!I55</f>
        <v>0</v>
      </c>
      <c r="N49" s="24">
        <f>Assens!I55</f>
        <v>50000</v>
      </c>
      <c r="O49" s="24">
        <f>Nyborg!I55</f>
        <v>14910.8</v>
      </c>
      <c r="P49" s="24">
        <f>Nordfyn!I55</f>
        <v>90000</v>
      </c>
      <c r="Q49" s="24">
        <f>Kerteminde!I55</f>
        <v>50000</v>
      </c>
      <c r="R49" s="24">
        <f>Særtilskud!I55</f>
        <v>0</v>
      </c>
    </row>
    <row r="50" spans="1:18" x14ac:dyDescent="0.25">
      <c r="A50" s="2" t="s">
        <v>85</v>
      </c>
      <c r="B50" s="2" t="s">
        <v>86</v>
      </c>
      <c r="C50" s="10">
        <v>6960</v>
      </c>
      <c r="D50" s="10">
        <v>1513.5</v>
      </c>
      <c r="E50">
        <v>359.86</v>
      </c>
      <c r="F50">
        <v>459.86</v>
      </c>
      <c r="G50" s="10">
        <v>5446.5</v>
      </c>
      <c r="I50" s="30">
        <f t="shared" ref="I50:I113" si="3">SUM(K50:R50)</f>
        <v>0</v>
      </c>
      <c r="K50" s="24">
        <f>Administration!I56</f>
        <v>0</v>
      </c>
      <c r="L50" s="24">
        <f>Odense!I56</f>
        <v>0</v>
      </c>
      <c r="M50" s="24">
        <f>Laks!I56</f>
        <v>0</v>
      </c>
      <c r="N50" s="24">
        <f>Assens!I56</f>
        <v>0</v>
      </c>
      <c r="O50" s="24">
        <f>Nyborg!I56</f>
        <v>0</v>
      </c>
      <c r="P50" s="24">
        <f>Nordfyn!I56</f>
        <v>0</v>
      </c>
      <c r="Q50" s="24">
        <f>Kerteminde!I56</f>
        <v>0</v>
      </c>
      <c r="R50" s="24">
        <f>Særtilskud!I56</f>
        <v>0</v>
      </c>
    </row>
    <row r="51" spans="1:18" x14ac:dyDescent="0.25">
      <c r="A51" s="2" t="s">
        <v>87</v>
      </c>
      <c r="B51" s="2" t="s">
        <v>88</v>
      </c>
      <c r="C51" s="10">
        <v>17387.02</v>
      </c>
      <c r="D51" s="10">
        <v>349549.56</v>
      </c>
      <c r="E51">
        <v>-95.03</v>
      </c>
      <c r="F51">
        <v>4.97</v>
      </c>
      <c r="G51" s="10">
        <v>-332162.53999999998</v>
      </c>
      <c r="I51" s="30">
        <f t="shared" si="3"/>
        <v>20000</v>
      </c>
      <c r="K51" s="24">
        <f>Administration!I57</f>
        <v>0</v>
      </c>
      <c r="L51" s="24">
        <f>Odense!I57</f>
        <v>20000</v>
      </c>
      <c r="M51" s="24">
        <f>Laks!I57</f>
        <v>0</v>
      </c>
      <c r="N51" s="24">
        <f>Assens!I57</f>
        <v>0</v>
      </c>
      <c r="O51" s="24">
        <f>Nyborg!I57</f>
        <v>0</v>
      </c>
      <c r="P51" s="24">
        <f>Nordfyn!I57</f>
        <v>0</v>
      </c>
      <c r="Q51" s="24">
        <f>Kerteminde!I57</f>
        <v>0</v>
      </c>
      <c r="R51" s="24">
        <f>Særtilskud!I57</f>
        <v>0</v>
      </c>
    </row>
    <row r="52" spans="1:18" x14ac:dyDescent="0.25">
      <c r="A52" s="3" t="s">
        <v>89</v>
      </c>
      <c r="B52" s="3" t="s">
        <v>17</v>
      </c>
      <c r="C52" s="12">
        <v>3703508.34</v>
      </c>
      <c r="D52" s="12">
        <v>4540912.0599999996</v>
      </c>
      <c r="E52" s="4">
        <v>-18.440000000000001</v>
      </c>
      <c r="F52" s="4">
        <v>81.56</v>
      </c>
      <c r="G52" s="12">
        <v>-837403.72</v>
      </c>
      <c r="I52" s="28">
        <f t="shared" si="3"/>
        <v>4375605.38</v>
      </c>
      <c r="K52" s="29">
        <f>Administration!I58</f>
        <v>30760</v>
      </c>
      <c r="L52" s="29">
        <f>Odense!I58</f>
        <v>745942.58000000007</v>
      </c>
      <c r="M52" s="29">
        <f>Laks!I58</f>
        <v>3098380</v>
      </c>
      <c r="N52" s="29">
        <f>Assens!I58</f>
        <v>218162</v>
      </c>
      <c r="O52" s="29">
        <f>Nyborg!I58</f>
        <v>65360.800000000003</v>
      </c>
      <c r="P52" s="29">
        <f>Nordfyn!I58</f>
        <v>140000</v>
      </c>
      <c r="Q52" s="29">
        <f>Kerteminde!I58</f>
        <v>77000</v>
      </c>
      <c r="R52" s="29">
        <f>Særtilskud!I58</f>
        <v>0</v>
      </c>
    </row>
    <row r="53" spans="1:18" x14ac:dyDescent="0.25">
      <c r="A53" s="2" t="s">
        <v>12</v>
      </c>
      <c r="B53" s="2" t="s">
        <v>12</v>
      </c>
      <c r="I53" s="30"/>
      <c r="K53" s="24">
        <f>Administration!I59</f>
        <v>0</v>
      </c>
      <c r="L53" s="24">
        <f>Odense!I59</f>
        <v>0</v>
      </c>
      <c r="M53" s="24">
        <f>Laks!I59</f>
        <v>0</v>
      </c>
      <c r="N53" s="24">
        <f>Assens!I59</f>
        <v>0</v>
      </c>
      <c r="O53" s="24">
        <f>Nyborg!I59</f>
        <v>0</v>
      </c>
      <c r="P53" s="24">
        <f>Nordfyn!I59</f>
        <v>0</v>
      </c>
      <c r="Q53" s="24">
        <f>Kerteminde!I59</f>
        <v>0</v>
      </c>
      <c r="R53" s="24">
        <f>Særtilskud!I59</f>
        <v>0</v>
      </c>
    </row>
    <row r="54" spans="1:18" x14ac:dyDescent="0.25">
      <c r="A54" s="3" t="s">
        <v>90</v>
      </c>
      <c r="B54" s="3" t="s">
        <v>91</v>
      </c>
      <c r="C54" s="12"/>
      <c r="D54" s="12"/>
      <c r="E54" s="4"/>
      <c r="F54" s="4"/>
      <c r="G54" s="12"/>
      <c r="I54" s="28">
        <f t="shared" si="3"/>
        <v>0</v>
      </c>
      <c r="K54" s="29">
        <f>Administration!I60</f>
        <v>0</v>
      </c>
      <c r="L54" s="29">
        <f>Odense!I60</f>
        <v>0</v>
      </c>
      <c r="M54" s="29">
        <f>Laks!I60</f>
        <v>0</v>
      </c>
      <c r="N54" s="29">
        <f>Assens!I60</f>
        <v>0</v>
      </c>
      <c r="O54" s="29">
        <f>Nyborg!I60</f>
        <v>0</v>
      </c>
      <c r="P54" s="29">
        <f>Nordfyn!I60</f>
        <v>0</v>
      </c>
      <c r="Q54" s="29">
        <f>Kerteminde!I60</f>
        <v>0</v>
      </c>
      <c r="R54" s="29">
        <f>Særtilskud!I60</f>
        <v>0</v>
      </c>
    </row>
    <row r="55" spans="1:18" x14ac:dyDescent="0.25">
      <c r="A55" s="2" t="s">
        <v>92</v>
      </c>
      <c r="B55" s="2" t="s">
        <v>93</v>
      </c>
      <c r="C55" s="10">
        <v>219433.85</v>
      </c>
      <c r="D55" s="10">
        <v>574516.53</v>
      </c>
      <c r="E55">
        <v>-61.81</v>
      </c>
      <c r="F55">
        <v>38.19</v>
      </c>
      <c r="G55" s="10">
        <v>-355082.68</v>
      </c>
      <c r="I55" s="30">
        <f t="shared" si="3"/>
        <v>527626.28</v>
      </c>
      <c r="K55" s="24">
        <f>Administration!I61</f>
        <v>0</v>
      </c>
      <c r="L55" s="24">
        <f>Odense!I61</f>
        <v>473616.53</v>
      </c>
      <c r="M55" s="24">
        <f>Laks!I61</f>
        <v>0</v>
      </c>
      <c r="N55" s="24">
        <f>Assens!I61</f>
        <v>0</v>
      </c>
      <c r="O55" s="24">
        <f>Nyborg!I61</f>
        <v>54009.75</v>
      </c>
      <c r="P55" s="24">
        <f>Nordfyn!I61</f>
        <v>0</v>
      </c>
      <c r="Q55" s="24">
        <f>Kerteminde!I61</f>
        <v>0</v>
      </c>
      <c r="R55" s="24">
        <f>Særtilskud!I61</f>
        <v>0</v>
      </c>
    </row>
    <row r="56" spans="1:18" x14ac:dyDescent="0.25">
      <c r="A56" s="3" t="s">
        <v>94</v>
      </c>
      <c r="B56" s="3" t="s">
        <v>95</v>
      </c>
      <c r="C56" s="12">
        <v>219433.85</v>
      </c>
      <c r="D56" s="12">
        <v>574516.53</v>
      </c>
      <c r="E56" s="4">
        <v>-61.81</v>
      </c>
      <c r="F56" s="4">
        <v>38.19</v>
      </c>
      <c r="G56" s="12">
        <v>-355082.68</v>
      </c>
      <c r="I56" s="28">
        <f t="shared" si="3"/>
        <v>527626.28</v>
      </c>
      <c r="K56" s="29">
        <f>Administration!I62</f>
        <v>0</v>
      </c>
      <c r="L56" s="29">
        <f>Odense!I62</f>
        <v>473616.53</v>
      </c>
      <c r="M56" s="29">
        <f>Laks!I62</f>
        <v>0</v>
      </c>
      <c r="N56" s="29">
        <f>Assens!I62</f>
        <v>0</v>
      </c>
      <c r="O56" s="29">
        <f>Nyborg!I62</f>
        <v>54009.75</v>
      </c>
      <c r="P56" s="29">
        <f>Nordfyn!I62</f>
        <v>0</v>
      </c>
      <c r="Q56" s="29">
        <f>Kerteminde!I62</f>
        <v>0</v>
      </c>
      <c r="R56" s="29">
        <f>Særtilskud!I62</f>
        <v>0</v>
      </c>
    </row>
    <row r="57" spans="1:18" x14ac:dyDescent="0.25">
      <c r="A57" s="2" t="s">
        <v>12</v>
      </c>
      <c r="B57" s="2" t="s">
        <v>12</v>
      </c>
      <c r="I57" s="30"/>
      <c r="K57" s="24">
        <f>Administration!I63</f>
        <v>0</v>
      </c>
      <c r="L57" s="24">
        <f>Odense!I63</f>
        <v>0</v>
      </c>
      <c r="M57" s="24">
        <f>Laks!I63</f>
        <v>0</v>
      </c>
      <c r="N57" s="24">
        <f>Assens!I63</f>
        <v>0</v>
      </c>
      <c r="O57" s="24">
        <f>Nyborg!I63</f>
        <v>0</v>
      </c>
      <c r="P57" s="24">
        <f>Nordfyn!I63</f>
        <v>0</v>
      </c>
      <c r="Q57" s="24">
        <f>Kerteminde!I63</f>
        <v>0</v>
      </c>
      <c r="R57" s="24">
        <f>Særtilskud!I63</f>
        <v>0</v>
      </c>
    </row>
    <row r="58" spans="1:18" x14ac:dyDescent="0.25">
      <c r="A58" s="3" t="s">
        <v>96</v>
      </c>
      <c r="B58" s="3" t="s">
        <v>97</v>
      </c>
      <c r="C58" s="12">
        <v>41820246.030000001</v>
      </c>
      <c r="D58" s="12">
        <v>73886044.590000004</v>
      </c>
      <c r="E58" s="4">
        <v>-43.4</v>
      </c>
      <c r="F58" s="4">
        <v>56.6</v>
      </c>
      <c r="G58" s="12">
        <v>-32065798.559999999</v>
      </c>
      <c r="I58" s="28">
        <f t="shared" si="3"/>
        <v>72958219.659999996</v>
      </c>
      <c r="K58" s="29">
        <f>Administration!I64</f>
        <v>2413270</v>
      </c>
      <c r="L58" s="29">
        <f>Odense!I64</f>
        <v>20245384.609999999</v>
      </c>
      <c r="M58" s="29">
        <f>Laks!I64</f>
        <v>3098380</v>
      </c>
      <c r="N58" s="29">
        <f>Assens!I64</f>
        <v>8978760</v>
      </c>
      <c r="O58" s="29">
        <f>Nyborg!I64</f>
        <v>7212973.0499999998</v>
      </c>
      <c r="P58" s="29">
        <f>Nordfyn!I64</f>
        <v>11194850</v>
      </c>
      <c r="Q58" s="29">
        <f>Kerteminde!I64</f>
        <v>8738402</v>
      </c>
      <c r="R58" s="29">
        <f>Særtilskud!I64</f>
        <v>11076200</v>
      </c>
    </row>
    <row r="59" spans="1:18" x14ac:dyDescent="0.25">
      <c r="A59" s="2" t="s">
        <v>12</v>
      </c>
      <c r="B59" s="2" t="s">
        <v>12</v>
      </c>
      <c r="I59" s="30"/>
      <c r="K59" s="24">
        <f>Administration!I65</f>
        <v>0</v>
      </c>
      <c r="L59" s="24">
        <f>Odense!I65</f>
        <v>0</v>
      </c>
      <c r="M59" s="24">
        <f>Laks!I65</f>
        <v>0</v>
      </c>
      <c r="N59" s="24">
        <f>Assens!I65</f>
        <v>0</v>
      </c>
      <c r="O59" s="24">
        <f>Nyborg!I65</f>
        <v>0</v>
      </c>
      <c r="P59" s="24">
        <f>Nordfyn!I65</f>
        <v>0</v>
      </c>
      <c r="Q59" s="24">
        <f>Kerteminde!I65</f>
        <v>0</v>
      </c>
      <c r="R59" s="24">
        <f>Særtilskud!I65</f>
        <v>0</v>
      </c>
    </row>
    <row r="60" spans="1:18" x14ac:dyDescent="0.25">
      <c r="A60" s="3" t="s">
        <v>98</v>
      </c>
      <c r="B60" s="3" t="s">
        <v>99</v>
      </c>
      <c r="C60" s="12"/>
      <c r="D60" s="12"/>
      <c r="E60" s="4"/>
      <c r="F60" s="4"/>
      <c r="G60" s="12"/>
      <c r="I60" s="28">
        <f t="shared" si="3"/>
        <v>0</v>
      </c>
      <c r="K60" s="29">
        <f>Administration!I66</f>
        <v>0</v>
      </c>
      <c r="L60" s="29">
        <f>Odense!I66</f>
        <v>0</v>
      </c>
      <c r="M60" s="29">
        <f>Laks!I66</f>
        <v>0</v>
      </c>
      <c r="N60" s="29">
        <f>Assens!I66</f>
        <v>0</v>
      </c>
      <c r="O60" s="29">
        <f>Nyborg!I66</f>
        <v>0</v>
      </c>
      <c r="P60" s="29">
        <f>Nordfyn!I66</f>
        <v>0</v>
      </c>
      <c r="Q60" s="29">
        <f>Kerteminde!I66</f>
        <v>0</v>
      </c>
      <c r="R60" s="29">
        <f>Særtilskud!I66</f>
        <v>0</v>
      </c>
    </row>
    <row r="61" spans="1:18" x14ac:dyDescent="0.25">
      <c r="A61" s="2" t="s">
        <v>100</v>
      </c>
      <c r="B61" s="2" t="s">
        <v>101</v>
      </c>
      <c r="I61" s="30">
        <f t="shared" si="3"/>
        <v>0</v>
      </c>
      <c r="K61" s="24">
        <f>Administration!I67</f>
        <v>0</v>
      </c>
      <c r="L61" s="24">
        <f>Odense!I67</f>
        <v>0</v>
      </c>
      <c r="M61" s="24">
        <f>Laks!I67</f>
        <v>0</v>
      </c>
      <c r="N61" s="24">
        <f>Assens!I67</f>
        <v>0</v>
      </c>
      <c r="O61" s="24">
        <f>Nyborg!I67</f>
        <v>0</v>
      </c>
      <c r="P61" s="24">
        <f>Nordfyn!I67</f>
        <v>0</v>
      </c>
      <c r="Q61" s="24">
        <f>Kerteminde!I67</f>
        <v>0</v>
      </c>
      <c r="R61" s="24">
        <f>Særtilskud!I67</f>
        <v>0</v>
      </c>
    </row>
    <row r="62" spans="1:18" x14ac:dyDescent="0.25">
      <c r="A62" s="2" t="s">
        <v>102</v>
      </c>
      <c r="B62" s="2" t="s">
        <v>103</v>
      </c>
      <c r="I62" s="30">
        <f t="shared" si="3"/>
        <v>0</v>
      </c>
      <c r="K62" s="24">
        <f>Administration!I68</f>
        <v>0</v>
      </c>
      <c r="L62" s="24">
        <f>Odense!I68</f>
        <v>0</v>
      </c>
      <c r="M62" s="24">
        <f>Laks!I68</f>
        <v>0</v>
      </c>
      <c r="N62" s="24">
        <f>Assens!I68</f>
        <v>0</v>
      </c>
      <c r="O62" s="24">
        <f>Nyborg!I68</f>
        <v>0</v>
      </c>
      <c r="P62" s="24">
        <f>Nordfyn!I68</f>
        <v>0</v>
      </c>
      <c r="Q62" s="24">
        <f>Kerteminde!I68</f>
        <v>0</v>
      </c>
      <c r="R62" s="24">
        <f>Særtilskud!I68</f>
        <v>0</v>
      </c>
    </row>
    <row r="63" spans="1:18" x14ac:dyDescent="0.25">
      <c r="A63" s="3" t="s">
        <v>104</v>
      </c>
      <c r="B63" s="3" t="s">
        <v>105</v>
      </c>
      <c r="C63" s="12"/>
      <c r="D63" s="12"/>
      <c r="E63" s="4"/>
      <c r="F63" s="4"/>
      <c r="G63" s="12"/>
      <c r="I63" s="28">
        <f t="shared" si="3"/>
        <v>0</v>
      </c>
      <c r="K63" s="29">
        <f>Administration!I69</f>
        <v>0</v>
      </c>
      <c r="L63" s="29">
        <f>Odense!I69</f>
        <v>0</v>
      </c>
      <c r="M63" s="29">
        <f>Laks!I69</f>
        <v>0</v>
      </c>
      <c r="N63" s="29">
        <f>Assens!I69</f>
        <v>0</v>
      </c>
      <c r="O63" s="29">
        <f>Nyborg!I69</f>
        <v>0</v>
      </c>
      <c r="P63" s="29">
        <f>Nordfyn!I69</f>
        <v>0</v>
      </c>
      <c r="Q63" s="29">
        <f>Kerteminde!I69</f>
        <v>0</v>
      </c>
      <c r="R63" s="29">
        <f>Særtilskud!I69</f>
        <v>0</v>
      </c>
    </row>
    <row r="64" spans="1:18" x14ac:dyDescent="0.25">
      <c r="A64" s="2" t="s">
        <v>12</v>
      </c>
      <c r="B64" s="2" t="s">
        <v>12</v>
      </c>
      <c r="I64" s="30"/>
      <c r="K64" s="24">
        <f>Administration!I70</f>
        <v>0</v>
      </c>
      <c r="L64" s="24">
        <f>Odense!I70</f>
        <v>0</v>
      </c>
      <c r="M64" s="24">
        <f>Laks!I70</f>
        <v>0</v>
      </c>
      <c r="N64" s="24">
        <f>Assens!I70</f>
        <v>0</v>
      </c>
      <c r="O64" s="24">
        <f>Nyborg!I70</f>
        <v>0</v>
      </c>
      <c r="P64" s="24">
        <f>Nordfyn!I70</f>
        <v>0</v>
      </c>
      <c r="Q64" s="24">
        <f>Kerteminde!I70</f>
        <v>0</v>
      </c>
      <c r="R64" s="24">
        <f>Særtilskud!I70</f>
        <v>0</v>
      </c>
    </row>
    <row r="65" spans="1:18" x14ac:dyDescent="0.25">
      <c r="A65" s="3" t="s">
        <v>106</v>
      </c>
      <c r="B65" s="3" t="s">
        <v>107</v>
      </c>
      <c r="C65" s="12"/>
      <c r="D65" s="12"/>
      <c r="E65" s="4"/>
      <c r="F65" s="4"/>
      <c r="G65" s="12"/>
      <c r="I65" s="28">
        <f t="shared" si="3"/>
        <v>0</v>
      </c>
      <c r="K65" s="29">
        <f>Administration!I71</f>
        <v>0</v>
      </c>
      <c r="L65" s="29">
        <f>Odense!I71</f>
        <v>0</v>
      </c>
      <c r="M65" s="29">
        <f>Laks!I71</f>
        <v>0</v>
      </c>
      <c r="N65" s="29">
        <f>Assens!I71</f>
        <v>0</v>
      </c>
      <c r="O65" s="29">
        <f>Nyborg!I71</f>
        <v>0</v>
      </c>
      <c r="P65" s="29">
        <f>Nordfyn!I71</f>
        <v>0</v>
      </c>
      <c r="Q65" s="29">
        <f>Kerteminde!I71</f>
        <v>0</v>
      </c>
      <c r="R65" s="29">
        <f>Særtilskud!I71</f>
        <v>0</v>
      </c>
    </row>
    <row r="66" spans="1:18" x14ac:dyDescent="0.25">
      <c r="A66" s="2" t="s">
        <v>108</v>
      </c>
      <c r="B66" s="2" t="s">
        <v>109</v>
      </c>
      <c r="C66" s="10">
        <v>-17400</v>
      </c>
      <c r="G66" s="10">
        <v>-17400</v>
      </c>
      <c r="I66" s="30">
        <f t="shared" si="3"/>
        <v>0</v>
      </c>
      <c r="K66" s="24">
        <f>Administration!I72</f>
        <v>0</v>
      </c>
      <c r="L66" s="24">
        <f>Odense!I72</f>
        <v>0</v>
      </c>
      <c r="M66" s="24">
        <f>Laks!I72</f>
        <v>0</v>
      </c>
      <c r="N66" s="24">
        <f>Assens!I72</f>
        <v>0</v>
      </c>
      <c r="O66" s="24">
        <f>Nyborg!I72</f>
        <v>0</v>
      </c>
      <c r="P66" s="24">
        <f>Nordfyn!I72</f>
        <v>0</v>
      </c>
      <c r="Q66" s="24">
        <f>Kerteminde!I72</f>
        <v>0</v>
      </c>
      <c r="R66" s="24">
        <f>Særtilskud!I72</f>
        <v>0</v>
      </c>
    </row>
    <row r="67" spans="1:18" x14ac:dyDescent="0.25">
      <c r="A67" s="2" t="s">
        <v>110</v>
      </c>
      <c r="B67" s="2" t="s">
        <v>111</v>
      </c>
      <c r="C67" s="10">
        <v>-606.25</v>
      </c>
      <c r="D67" s="10">
        <v>-8072</v>
      </c>
      <c r="E67">
        <v>-92.49</v>
      </c>
      <c r="F67">
        <v>7.51</v>
      </c>
      <c r="G67" s="10">
        <v>7465.75</v>
      </c>
      <c r="I67" s="30">
        <f t="shared" si="3"/>
        <v>0</v>
      </c>
      <c r="K67" s="24">
        <f>Administration!I73</f>
        <v>0</v>
      </c>
      <c r="L67" s="24">
        <f>Odense!I73</f>
        <v>0</v>
      </c>
      <c r="M67" s="24">
        <f>Laks!I73</f>
        <v>0</v>
      </c>
      <c r="N67" s="24">
        <f>Assens!I73</f>
        <v>0</v>
      </c>
      <c r="O67" s="24">
        <f>Nyborg!I73</f>
        <v>0</v>
      </c>
      <c r="P67" s="24">
        <f>Nordfyn!I73</f>
        <v>0</v>
      </c>
      <c r="Q67" s="24">
        <f>Kerteminde!I73</f>
        <v>0</v>
      </c>
      <c r="R67" s="24">
        <f>Særtilskud!I73</f>
        <v>0</v>
      </c>
    </row>
    <row r="68" spans="1:18" x14ac:dyDescent="0.25">
      <c r="A68" s="2" t="s">
        <v>112</v>
      </c>
      <c r="B68" s="2" t="s">
        <v>113</v>
      </c>
      <c r="C68" s="10">
        <v>-18830</v>
      </c>
      <c r="D68" s="10">
        <v>-37998.94</v>
      </c>
      <c r="E68">
        <v>-50.45</v>
      </c>
      <c r="F68">
        <v>49.55</v>
      </c>
      <c r="G68" s="10">
        <v>19168.939999999999</v>
      </c>
      <c r="I68" s="30">
        <f t="shared" si="3"/>
        <v>-37660</v>
      </c>
      <c r="K68" s="24">
        <f>Administration!I74</f>
        <v>0</v>
      </c>
      <c r="L68" s="24">
        <f>Odense!I74</f>
        <v>0</v>
      </c>
      <c r="M68" s="24">
        <f>Laks!I74</f>
        <v>0</v>
      </c>
      <c r="N68" s="24">
        <f>Assens!I74</f>
        <v>0</v>
      </c>
      <c r="O68" s="24">
        <f>Nyborg!I74</f>
        <v>0</v>
      </c>
      <c r="P68" s="24">
        <f>Nordfyn!I74</f>
        <v>0</v>
      </c>
      <c r="Q68" s="24">
        <f>Kerteminde!I74</f>
        <v>-37660</v>
      </c>
      <c r="R68" s="24">
        <f>Særtilskud!I74</f>
        <v>0</v>
      </c>
    </row>
    <row r="69" spans="1:18" x14ac:dyDescent="0.25">
      <c r="A69" s="2" t="s">
        <v>114</v>
      </c>
      <c r="B69" s="2" t="s">
        <v>115</v>
      </c>
      <c r="C69" s="10">
        <v>-61342.59</v>
      </c>
      <c r="D69" s="10">
        <v>-104040.87</v>
      </c>
      <c r="E69">
        <v>-41.04</v>
      </c>
      <c r="F69">
        <v>58.96</v>
      </c>
      <c r="G69" s="10">
        <v>42698.28</v>
      </c>
      <c r="I69" s="30">
        <f t="shared" si="3"/>
        <v>-89665.489999999991</v>
      </c>
      <c r="K69" s="24">
        <f>Administration!I75</f>
        <v>12600</v>
      </c>
      <c r="L69" s="24">
        <f>Odense!I75</f>
        <v>-7000</v>
      </c>
      <c r="M69" s="24">
        <f>Laks!I75</f>
        <v>-18879.09</v>
      </c>
      <c r="N69" s="24">
        <f>Assens!I75</f>
        <v>-36000</v>
      </c>
      <c r="O69" s="24">
        <f>Nyborg!I75</f>
        <v>-1000</v>
      </c>
      <c r="P69" s="24">
        <f>Nordfyn!I75</f>
        <v>0</v>
      </c>
      <c r="Q69" s="24">
        <f>Kerteminde!I75</f>
        <v>-39386.399999999994</v>
      </c>
      <c r="R69" s="24">
        <f>Særtilskud!I75</f>
        <v>0</v>
      </c>
    </row>
    <row r="70" spans="1:18" x14ac:dyDescent="0.25">
      <c r="A70" s="3" t="s">
        <v>116</v>
      </c>
      <c r="B70" s="3" t="s">
        <v>117</v>
      </c>
      <c r="C70" s="12">
        <v>-98178.84</v>
      </c>
      <c r="D70" s="12">
        <v>-150111.81</v>
      </c>
      <c r="E70" s="4">
        <v>-34.6</v>
      </c>
      <c r="F70" s="4">
        <v>65.400000000000006</v>
      </c>
      <c r="G70" s="12">
        <v>51932.97</v>
      </c>
      <c r="I70" s="28">
        <f t="shared" si="3"/>
        <v>-127325.48999999999</v>
      </c>
      <c r="K70" s="29">
        <f>Administration!I76</f>
        <v>12600</v>
      </c>
      <c r="L70" s="29">
        <f>Odense!I76</f>
        <v>-7000</v>
      </c>
      <c r="M70" s="29">
        <f>Laks!I76</f>
        <v>-18879.09</v>
      </c>
      <c r="N70" s="29">
        <f>Assens!I76</f>
        <v>-36000</v>
      </c>
      <c r="O70" s="29">
        <f>Nyborg!I76</f>
        <v>-1000</v>
      </c>
      <c r="P70" s="29">
        <f>Nordfyn!I76</f>
        <v>0</v>
      </c>
      <c r="Q70" s="29">
        <f>Kerteminde!I76</f>
        <v>-77046.399999999994</v>
      </c>
      <c r="R70" s="29">
        <f>Særtilskud!I76</f>
        <v>0</v>
      </c>
    </row>
    <row r="71" spans="1:18" x14ac:dyDescent="0.25">
      <c r="A71" s="2" t="s">
        <v>12</v>
      </c>
      <c r="B71" s="2" t="s">
        <v>12</v>
      </c>
      <c r="I71" s="30"/>
      <c r="K71" s="24">
        <f>Administration!I77</f>
        <v>0</v>
      </c>
      <c r="L71" s="24">
        <f>Odense!I77</f>
        <v>0</v>
      </c>
      <c r="M71" s="24">
        <f>Laks!I77</f>
        <v>0</v>
      </c>
      <c r="N71" s="24">
        <f>Assens!I77</f>
        <v>0</v>
      </c>
      <c r="O71" s="24">
        <f>Nyborg!I77</f>
        <v>0</v>
      </c>
      <c r="P71" s="24">
        <f>Nordfyn!I77</f>
        <v>0</v>
      </c>
      <c r="Q71" s="24">
        <f>Kerteminde!I77</f>
        <v>0</v>
      </c>
      <c r="R71" s="24">
        <f>Særtilskud!I77</f>
        <v>0</v>
      </c>
    </row>
    <row r="72" spans="1:18" x14ac:dyDescent="0.25">
      <c r="A72" s="3" t="s">
        <v>118</v>
      </c>
      <c r="B72" s="3" t="s">
        <v>119</v>
      </c>
      <c r="C72" s="12"/>
      <c r="D72" s="12"/>
      <c r="E72" s="4"/>
      <c r="F72" s="4"/>
      <c r="G72" s="12"/>
      <c r="I72" s="28">
        <f t="shared" si="3"/>
        <v>0</v>
      </c>
      <c r="K72" s="29">
        <f>Administration!I78</f>
        <v>0</v>
      </c>
      <c r="L72" s="29">
        <f>Odense!I78</f>
        <v>0</v>
      </c>
      <c r="M72" s="29">
        <f>Laks!I78</f>
        <v>0</v>
      </c>
      <c r="N72" s="29">
        <f>Assens!I78</f>
        <v>0</v>
      </c>
      <c r="O72" s="29">
        <f>Nyborg!I78</f>
        <v>0</v>
      </c>
      <c r="P72" s="29">
        <f>Nordfyn!I78</f>
        <v>0</v>
      </c>
      <c r="Q72" s="29">
        <f>Kerteminde!I78</f>
        <v>0</v>
      </c>
      <c r="R72" s="29">
        <f>Særtilskud!I78</f>
        <v>0</v>
      </c>
    </row>
    <row r="73" spans="1:18" x14ac:dyDescent="0.25">
      <c r="A73" s="2" t="s">
        <v>120</v>
      </c>
      <c r="B73" s="2" t="s">
        <v>121</v>
      </c>
      <c r="I73" s="30">
        <f t="shared" si="3"/>
        <v>0</v>
      </c>
      <c r="K73" s="24">
        <f>Administration!I79</f>
        <v>0</v>
      </c>
      <c r="L73" s="24">
        <f>Odense!I79</f>
        <v>0</v>
      </c>
      <c r="M73" s="24">
        <f>Laks!I79</f>
        <v>0</v>
      </c>
      <c r="N73" s="24">
        <f>Assens!I79</f>
        <v>0</v>
      </c>
      <c r="O73" s="24">
        <f>Nyborg!I79</f>
        <v>0</v>
      </c>
      <c r="P73" s="24">
        <f>Nordfyn!I79</f>
        <v>0</v>
      </c>
      <c r="Q73" s="24">
        <f>Kerteminde!I79</f>
        <v>0</v>
      </c>
      <c r="R73" s="24">
        <f>Særtilskud!I79</f>
        <v>0</v>
      </c>
    </row>
    <row r="74" spans="1:18" x14ac:dyDescent="0.25">
      <c r="A74" s="2" t="s">
        <v>122</v>
      </c>
      <c r="B74" s="2" t="s">
        <v>123</v>
      </c>
      <c r="I74" s="30">
        <f t="shared" si="3"/>
        <v>0</v>
      </c>
      <c r="K74" s="24">
        <f>Administration!I80</f>
        <v>0</v>
      </c>
      <c r="L74" s="24">
        <f>Odense!I80</f>
        <v>0</v>
      </c>
      <c r="M74" s="24">
        <f>Laks!I80</f>
        <v>0</v>
      </c>
      <c r="N74" s="24">
        <f>Assens!I80</f>
        <v>0</v>
      </c>
      <c r="O74" s="24">
        <f>Nyborg!I80</f>
        <v>0</v>
      </c>
      <c r="P74" s="24">
        <f>Nordfyn!I80</f>
        <v>0</v>
      </c>
      <c r="Q74" s="24">
        <f>Kerteminde!I80</f>
        <v>0</v>
      </c>
      <c r="R74" s="24">
        <f>Særtilskud!I80</f>
        <v>0</v>
      </c>
    </row>
    <row r="75" spans="1:18" x14ac:dyDescent="0.25">
      <c r="A75" s="3" t="s">
        <v>124</v>
      </c>
      <c r="B75" s="3" t="s">
        <v>125</v>
      </c>
      <c r="C75" s="12"/>
      <c r="D75" s="12"/>
      <c r="E75" s="4"/>
      <c r="F75" s="4"/>
      <c r="G75" s="12"/>
      <c r="I75" s="28">
        <f t="shared" si="3"/>
        <v>0</v>
      </c>
      <c r="K75" s="29">
        <f>Administration!I81</f>
        <v>0</v>
      </c>
      <c r="L75" s="29">
        <f>Odense!I81</f>
        <v>0</v>
      </c>
      <c r="M75" s="29">
        <f>Laks!I81</f>
        <v>0</v>
      </c>
      <c r="N75" s="29">
        <f>Assens!I81</f>
        <v>0</v>
      </c>
      <c r="O75" s="29">
        <f>Nyborg!I81</f>
        <v>0</v>
      </c>
      <c r="P75" s="29">
        <f>Nordfyn!I81</f>
        <v>0</v>
      </c>
      <c r="Q75" s="29">
        <f>Kerteminde!I81</f>
        <v>0</v>
      </c>
      <c r="R75" s="29">
        <f>Særtilskud!I81</f>
        <v>0</v>
      </c>
    </row>
    <row r="76" spans="1:18" x14ac:dyDescent="0.25">
      <c r="A76" s="2" t="s">
        <v>12</v>
      </c>
      <c r="B76" s="2" t="s">
        <v>12</v>
      </c>
      <c r="I76" s="30"/>
      <c r="K76" s="24">
        <f>Administration!I82</f>
        <v>0</v>
      </c>
      <c r="L76" s="24">
        <f>Odense!I82</f>
        <v>0</v>
      </c>
      <c r="M76" s="24">
        <f>Laks!I82</f>
        <v>0</v>
      </c>
      <c r="N76" s="24">
        <f>Assens!I82</f>
        <v>0</v>
      </c>
      <c r="O76" s="24">
        <f>Nyborg!I82</f>
        <v>0</v>
      </c>
      <c r="P76" s="24">
        <f>Nordfyn!I82</f>
        <v>0</v>
      </c>
      <c r="Q76" s="24">
        <f>Kerteminde!I82</f>
        <v>0</v>
      </c>
      <c r="R76" s="24">
        <f>Særtilskud!I82</f>
        <v>0</v>
      </c>
    </row>
    <row r="77" spans="1:18" x14ac:dyDescent="0.25">
      <c r="A77" s="3" t="s">
        <v>126</v>
      </c>
      <c r="B77" s="3" t="s">
        <v>30</v>
      </c>
      <c r="C77" s="12"/>
      <c r="D77" s="12"/>
      <c r="E77" s="4"/>
      <c r="F77" s="4"/>
      <c r="G77" s="12"/>
      <c r="I77" s="28">
        <f t="shared" si="3"/>
        <v>0</v>
      </c>
      <c r="K77" s="29">
        <f>Administration!I83</f>
        <v>0</v>
      </c>
      <c r="L77" s="29">
        <f>Odense!I83</f>
        <v>0</v>
      </c>
      <c r="M77" s="29">
        <f>Laks!I83</f>
        <v>0</v>
      </c>
      <c r="N77" s="29">
        <f>Assens!I83</f>
        <v>0</v>
      </c>
      <c r="O77" s="29">
        <f>Nyborg!I83</f>
        <v>0</v>
      </c>
      <c r="P77" s="29">
        <f>Nordfyn!I83</f>
        <v>0</v>
      </c>
      <c r="Q77" s="29">
        <f>Kerteminde!I83</f>
        <v>0</v>
      </c>
      <c r="R77" s="29">
        <f>Særtilskud!I83</f>
        <v>0</v>
      </c>
    </row>
    <row r="78" spans="1:18" x14ac:dyDescent="0.25">
      <c r="A78" s="2" t="s">
        <v>127</v>
      </c>
      <c r="B78" s="2" t="s">
        <v>128</v>
      </c>
      <c r="I78" s="30">
        <f t="shared" si="3"/>
        <v>0</v>
      </c>
      <c r="K78" s="24">
        <f>Administration!I84</f>
        <v>0</v>
      </c>
      <c r="L78" s="24">
        <f>Odense!I84</f>
        <v>0</v>
      </c>
      <c r="M78" s="24">
        <f>Laks!I84</f>
        <v>0</v>
      </c>
      <c r="N78" s="24">
        <f>Assens!I84</f>
        <v>0</v>
      </c>
      <c r="O78" s="24">
        <f>Nyborg!I84</f>
        <v>0</v>
      </c>
      <c r="P78" s="24">
        <f>Nordfyn!I84</f>
        <v>0</v>
      </c>
      <c r="Q78" s="24">
        <f>Kerteminde!I84</f>
        <v>0</v>
      </c>
      <c r="R78" s="24">
        <f>Særtilskud!I84</f>
        <v>0</v>
      </c>
    </row>
    <row r="79" spans="1:18" x14ac:dyDescent="0.25">
      <c r="A79" s="2" t="s">
        <v>129</v>
      </c>
      <c r="B79" s="2" t="s">
        <v>130</v>
      </c>
      <c r="C79" s="10">
        <v>-333885.59999999998</v>
      </c>
      <c r="D79" s="10">
        <v>-860000</v>
      </c>
      <c r="E79">
        <v>-61.18</v>
      </c>
      <c r="F79">
        <v>38.82</v>
      </c>
      <c r="G79" s="10">
        <v>526114.4</v>
      </c>
      <c r="I79" s="30">
        <f t="shared" si="3"/>
        <v>-600000</v>
      </c>
      <c r="K79" s="24">
        <f>Administration!I85</f>
        <v>-600000</v>
      </c>
      <c r="L79" s="24">
        <f>Odense!I85</f>
        <v>0</v>
      </c>
      <c r="M79" s="24">
        <f>Laks!I85</f>
        <v>0</v>
      </c>
      <c r="N79" s="24">
        <f>Assens!I85</f>
        <v>0</v>
      </c>
      <c r="O79" s="24">
        <f>Nyborg!I85</f>
        <v>0</v>
      </c>
      <c r="P79" s="24">
        <f>Nordfyn!I85</f>
        <v>0</v>
      </c>
      <c r="Q79" s="24">
        <f>Kerteminde!I85</f>
        <v>0</v>
      </c>
      <c r="R79" s="24">
        <f>Særtilskud!I85</f>
        <v>0</v>
      </c>
    </row>
    <row r="80" spans="1:18" x14ac:dyDescent="0.25">
      <c r="A80" s="2" t="s">
        <v>131</v>
      </c>
      <c r="B80" s="2" t="s">
        <v>132</v>
      </c>
      <c r="I80" s="30">
        <f t="shared" si="3"/>
        <v>0</v>
      </c>
      <c r="K80" s="24">
        <f>Administration!I86</f>
        <v>0</v>
      </c>
      <c r="L80" s="24">
        <f>Odense!I86</f>
        <v>0</v>
      </c>
      <c r="M80" s="24">
        <f>Laks!I86</f>
        <v>0</v>
      </c>
      <c r="N80" s="24">
        <f>Assens!I86</f>
        <v>0</v>
      </c>
      <c r="O80" s="24">
        <f>Nyborg!I86</f>
        <v>0</v>
      </c>
      <c r="P80" s="24">
        <f>Nordfyn!I86</f>
        <v>0</v>
      </c>
      <c r="Q80" s="24">
        <f>Kerteminde!I86</f>
        <v>0</v>
      </c>
      <c r="R80" s="24">
        <f>Særtilskud!I86</f>
        <v>0</v>
      </c>
    </row>
    <row r="81" spans="1:18" x14ac:dyDescent="0.25">
      <c r="A81" s="2" t="s">
        <v>133</v>
      </c>
      <c r="B81" s="2" t="s">
        <v>134</v>
      </c>
      <c r="I81" s="30">
        <f t="shared" si="3"/>
        <v>0</v>
      </c>
      <c r="K81" s="24">
        <f>Administration!I87</f>
        <v>0</v>
      </c>
      <c r="L81" s="24">
        <f>Odense!I87</f>
        <v>0</v>
      </c>
      <c r="M81" s="24">
        <f>Laks!I87</f>
        <v>0</v>
      </c>
      <c r="N81" s="24">
        <f>Assens!I87</f>
        <v>0</v>
      </c>
      <c r="O81" s="24">
        <f>Nyborg!I87</f>
        <v>0</v>
      </c>
      <c r="P81" s="24">
        <f>Nordfyn!I87</f>
        <v>0</v>
      </c>
      <c r="Q81" s="24">
        <f>Kerteminde!I87</f>
        <v>0</v>
      </c>
      <c r="R81" s="24">
        <f>Særtilskud!I87</f>
        <v>0</v>
      </c>
    </row>
    <row r="82" spans="1:18" x14ac:dyDescent="0.25">
      <c r="A82" s="2" t="s">
        <v>135</v>
      </c>
      <c r="B82" s="2" t="s">
        <v>136</v>
      </c>
      <c r="I82" s="30">
        <f t="shared" si="3"/>
        <v>0</v>
      </c>
      <c r="K82" s="24">
        <f>Administration!I88</f>
        <v>0</v>
      </c>
      <c r="L82" s="24">
        <f>Odense!I88</f>
        <v>0</v>
      </c>
      <c r="M82" s="24">
        <f>Laks!I88</f>
        <v>0</v>
      </c>
      <c r="N82" s="24">
        <f>Assens!I88</f>
        <v>0</v>
      </c>
      <c r="O82" s="24">
        <f>Nyborg!I88</f>
        <v>0</v>
      </c>
      <c r="P82" s="24">
        <f>Nordfyn!I88</f>
        <v>0</v>
      </c>
      <c r="Q82" s="24">
        <f>Kerteminde!I88</f>
        <v>0</v>
      </c>
      <c r="R82" s="24">
        <f>Særtilskud!I88</f>
        <v>0</v>
      </c>
    </row>
    <row r="83" spans="1:18" x14ac:dyDescent="0.25">
      <c r="A83" s="2" t="s">
        <v>137</v>
      </c>
      <c r="B83" s="2" t="s">
        <v>138</v>
      </c>
      <c r="C83" s="10">
        <v>-25929209.829999998</v>
      </c>
      <c r="D83" s="10">
        <v>-45489758.899999999</v>
      </c>
      <c r="E83">
        <v>-43</v>
      </c>
      <c r="F83">
        <v>57</v>
      </c>
      <c r="G83" s="10">
        <v>19560549.07</v>
      </c>
      <c r="I83" s="30">
        <f t="shared" si="3"/>
        <v>-48335260.650000006</v>
      </c>
      <c r="K83" s="24">
        <f>Administration!I89</f>
        <v>-7945733.96</v>
      </c>
      <c r="L83" s="24">
        <f>Odense!I89</f>
        <v>-14752785.109999999</v>
      </c>
      <c r="M83" s="24">
        <f>Laks!I89</f>
        <v>-2111469.7599999998</v>
      </c>
      <c r="N83" s="24">
        <f>Assens!I89</f>
        <v>-6014252.1900000004</v>
      </c>
      <c r="O83" s="24">
        <f>Nyborg!I89</f>
        <v>-5163928.83</v>
      </c>
      <c r="P83" s="24">
        <f>Nordfyn!I89</f>
        <v>-6950391.9199999999</v>
      </c>
      <c r="Q83" s="24">
        <f>Kerteminde!I89</f>
        <v>-5396698.8799999999</v>
      </c>
      <c r="R83" s="24">
        <f>Særtilskud!I89</f>
        <v>0</v>
      </c>
    </row>
    <row r="84" spans="1:18" x14ac:dyDescent="0.25">
      <c r="A84" s="2" t="s">
        <v>139</v>
      </c>
      <c r="B84" s="2" t="s">
        <v>140</v>
      </c>
      <c r="I84" s="30">
        <f t="shared" si="3"/>
        <v>0</v>
      </c>
      <c r="K84" s="24">
        <f>Administration!I90</f>
        <v>0</v>
      </c>
      <c r="L84" s="24">
        <f>Odense!I90</f>
        <v>0</v>
      </c>
      <c r="M84" s="24">
        <f>Laks!I90</f>
        <v>0</v>
      </c>
      <c r="N84" s="24">
        <f>Assens!I90</f>
        <v>0</v>
      </c>
      <c r="O84" s="24">
        <f>Nyborg!I90</f>
        <v>0</v>
      </c>
      <c r="P84" s="24">
        <f>Nordfyn!I90</f>
        <v>0</v>
      </c>
      <c r="Q84" s="24">
        <f>Kerteminde!I90</f>
        <v>0</v>
      </c>
      <c r="R84" s="24">
        <f>Særtilskud!I90</f>
        <v>0</v>
      </c>
    </row>
    <row r="85" spans="1:18" x14ac:dyDescent="0.25">
      <c r="A85" s="2" t="s">
        <v>141</v>
      </c>
      <c r="B85" s="2" t="s">
        <v>142</v>
      </c>
      <c r="I85" s="30">
        <f t="shared" si="3"/>
        <v>0</v>
      </c>
      <c r="K85" s="24">
        <f>Administration!I91</f>
        <v>0</v>
      </c>
      <c r="L85" s="24">
        <f>Odense!I91</f>
        <v>0</v>
      </c>
      <c r="M85" s="24">
        <f>Laks!I91</f>
        <v>0</v>
      </c>
      <c r="N85" s="24">
        <f>Assens!I91</f>
        <v>0</v>
      </c>
      <c r="O85" s="24">
        <f>Nyborg!I91</f>
        <v>0</v>
      </c>
      <c r="P85" s="24">
        <f>Nordfyn!I91</f>
        <v>0</v>
      </c>
      <c r="Q85" s="24">
        <f>Kerteminde!I91</f>
        <v>0</v>
      </c>
      <c r="R85" s="24">
        <f>Særtilskud!I91</f>
        <v>0</v>
      </c>
    </row>
    <row r="86" spans="1:18" x14ac:dyDescent="0.25">
      <c r="A86" s="2" t="s">
        <v>143</v>
      </c>
      <c r="B86" s="2" t="s">
        <v>144</v>
      </c>
      <c r="H86" s="34">
        <v>2</v>
      </c>
      <c r="I86" s="30">
        <f t="shared" si="3"/>
        <v>-1173000</v>
      </c>
      <c r="K86" s="24">
        <f>Administration!I92</f>
        <v>0</v>
      </c>
      <c r="L86" s="24">
        <f>Odense!I92</f>
        <v>-454537.5</v>
      </c>
      <c r="M86" s="24">
        <f>Laks!I92</f>
        <v>0</v>
      </c>
      <c r="N86" s="24">
        <f>Assens!I92</f>
        <v>-175950</v>
      </c>
      <c r="O86" s="24">
        <f>Nyborg!I92</f>
        <v>-131962.5</v>
      </c>
      <c r="P86" s="24">
        <f>Nordfyn!I92</f>
        <v>-234600</v>
      </c>
      <c r="Q86" s="24">
        <f>Kerteminde!I92</f>
        <v>-175950</v>
      </c>
      <c r="R86" s="24">
        <f>Særtilskud!I92</f>
        <v>0</v>
      </c>
    </row>
    <row r="87" spans="1:18" x14ac:dyDescent="0.25">
      <c r="A87" s="2" t="s">
        <v>145</v>
      </c>
      <c r="B87" s="2" t="s">
        <v>146</v>
      </c>
      <c r="C87" s="10">
        <v>-184583.12</v>
      </c>
      <c r="G87" s="10">
        <v>-184583.12</v>
      </c>
      <c r="I87" s="30">
        <f t="shared" si="3"/>
        <v>0</v>
      </c>
      <c r="K87" s="24">
        <f>Administration!I93</f>
        <v>0</v>
      </c>
      <c r="L87" s="24">
        <f>Odense!I93</f>
        <v>0</v>
      </c>
      <c r="M87" s="24">
        <f>Laks!I93</f>
        <v>0</v>
      </c>
      <c r="N87" s="24">
        <f>Assens!I93</f>
        <v>0</v>
      </c>
      <c r="O87" s="24">
        <f>Nyborg!I93</f>
        <v>0</v>
      </c>
      <c r="P87" s="24">
        <f>Nordfyn!I93</f>
        <v>0</v>
      </c>
      <c r="Q87" s="24">
        <f>Kerteminde!I93</f>
        <v>0</v>
      </c>
      <c r="R87" s="24">
        <f>Særtilskud!I93</f>
        <v>0</v>
      </c>
    </row>
    <row r="88" spans="1:18" x14ac:dyDescent="0.25">
      <c r="A88" s="2" t="s">
        <v>147</v>
      </c>
      <c r="B88" s="2" t="s">
        <v>148</v>
      </c>
      <c r="C88" s="10">
        <v>-11340</v>
      </c>
      <c r="G88" s="10">
        <v>-11340</v>
      </c>
      <c r="I88" s="30">
        <f t="shared" si="3"/>
        <v>0</v>
      </c>
      <c r="K88" s="24">
        <f>Administration!I94</f>
        <v>0</v>
      </c>
      <c r="L88" s="24">
        <f>Odense!I94</f>
        <v>0</v>
      </c>
      <c r="M88" s="24">
        <f>Laks!I94</f>
        <v>0</v>
      </c>
      <c r="N88" s="24">
        <f>Assens!I94</f>
        <v>0</v>
      </c>
      <c r="O88" s="24">
        <f>Nyborg!I94</f>
        <v>0</v>
      </c>
      <c r="P88" s="24">
        <f>Nordfyn!I94</f>
        <v>0</v>
      </c>
      <c r="Q88" s="24">
        <f>Kerteminde!I94</f>
        <v>0</v>
      </c>
      <c r="R88" s="24">
        <f>Særtilskud!I94</f>
        <v>0</v>
      </c>
    </row>
    <row r="89" spans="1:18" x14ac:dyDescent="0.25">
      <c r="A89" s="2" t="s">
        <v>149</v>
      </c>
      <c r="B89" s="2" t="s">
        <v>150</v>
      </c>
      <c r="C89" s="10">
        <v>-8361.82</v>
      </c>
      <c r="G89" s="10">
        <v>-8361.82</v>
      </c>
      <c r="I89" s="30">
        <f t="shared" si="3"/>
        <v>0</v>
      </c>
      <c r="K89" s="24">
        <f>Administration!I95</f>
        <v>0</v>
      </c>
      <c r="L89" s="24">
        <f>Odense!I95</f>
        <v>0</v>
      </c>
      <c r="M89" s="24">
        <f>Laks!I95</f>
        <v>0</v>
      </c>
      <c r="N89" s="24">
        <f>Assens!I95</f>
        <v>0</v>
      </c>
      <c r="O89" s="24">
        <f>Nyborg!I95</f>
        <v>0</v>
      </c>
      <c r="P89" s="24">
        <f>Nordfyn!I95</f>
        <v>0</v>
      </c>
      <c r="Q89" s="24">
        <f>Kerteminde!I95</f>
        <v>0</v>
      </c>
      <c r="R89" s="24">
        <f>Særtilskud!I95</f>
        <v>0</v>
      </c>
    </row>
    <row r="90" spans="1:18" x14ac:dyDescent="0.25">
      <c r="A90" s="2" t="s">
        <v>151</v>
      </c>
      <c r="B90" s="2" t="s">
        <v>152</v>
      </c>
      <c r="I90" s="30">
        <f t="shared" si="3"/>
        <v>0</v>
      </c>
      <c r="K90" s="24">
        <f>Administration!I96</f>
        <v>0</v>
      </c>
      <c r="L90" s="24">
        <f>Odense!I96</f>
        <v>0</v>
      </c>
      <c r="M90" s="24">
        <f>Laks!I96</f>
        <v>0</v>
      </c>
      <c r="N90" s="24">
        <f>Assens!I96</f>
        <v>0</v>
      </c>
      <c r="O90" s="24">
        <f>Nyborg!I96</f>
        <v>0</v>
      </c>
      <c r="P90" s="24">
        <f>Nordfyn!I96</f>
        <v>0</v>
      </c>
      <c r="Q90" s="24">
        <f>Kerteminde!I96</f>
        <v>0</v>
      </c>
      <c r="R90" s="24">
        <f>Særtilskud!I96</f>
        <v>0</v>
      </c>
    </row>
    <row r="91" spans="1:18" x14ac:dyDescent="0.25">
      <c r="A91" s="2" t="s">
        <v>153</v>
      </c>
      <c r="B91" s="2" t="s">
        <v>154</v>
      </c>
      <c r="I91" s="30">
        <f t="shared" si="3"/>
        <v>0</v>
      </c>
      <c r="K91" s="24">
        <f>Administration!I97</f>
        <v>0</v>
      </c>
      <c r="L91" s="24">
        <f>Odense!I97</f>
        <v>0</v>
      </c>
      <c r="M91" s="24">
        <f>Laks!I97</f>
        <v>0</v>
      </c>
      <c r="N91" s="24">
        <f>Assens!I97</f>
        <v>0</v>
      </c>
      <c r="O91" s="24">
        <f>Nyborg!I97</f>
        <v>0</v>
      </c>
      <c r="P91" s="24">
        <f>Nordfyn!I97</f>
        <v>0</v>
      </c>
      <c r="Q91" s="24">
        <f>Kerteminde!I97</f>
        <v>0</v>
      </c>
      <c r="R91" s="24">
        <f>Særtilskud!I97</f>
        <v>0</v>
      </c>
    </row>
    <row r="92" spans="1:18" x14ac:dyDescent="0.25">
      <c r="A92" s="2" t="s">
        <v>155</v>
      </c>
      <c r="B92" s="2" t="s">
        <v>156</v>
      </c>
      <c r="I92" s="30">
        <f t="shared" si="3"/>
        <v>0</v>
      </c>
      <c r="K92" s="24">
        <f>Administration!I98</f>
        <v>0</v>
      </c>
      <c r="L92" s="24">
        <f>Odense!I98</f>
        <v>0</v>
      </c>
      <c r="M92" s="24">
        <f>Laks!I98</f>
        <v>0</v>
      </c>
      <c r="N92" s="24">
        <f>Assens!I98</f>
        <v>0</v>
      </c>
      <c r="O92" s="24">
        <f>Nyborg!I98</f>
        <v>0</v>
      </c>
      <c r="P92" s="24">
        <f>Nordfyn!I98</f>
        <v>0</v>
      </c>
      <c r="Q92" s="24">
        <f>Kerteminde!I98</f>
        <v>0</v>
      </c>
      <c r="R92" s="24">
        <f>Særtilskud!I98</f>
        <v>0</v>
      </c>
    </row>
    <row r="93" spans="1:18" x14ac:dyDescent="0.25">
      <c r="A93" s="2" t="s">
        <v>157</v>
      </c>
      <c r="B93" s="2" t="s">
        <v>158</v>
      </c>
      <c r="I93" s="30">
        <f t="shared" si="3"/>
        <v>0</v>
      </c>
      <c r="K93" s="24">
        <f>Administration!I99</f>
        <v>0</v>
      </c>
      <c r="L93" s="24">
        <f>Odense!I99</f>
        <v>0</v>
      </c>
      <c r="M93" s="24">
        <f>Laks!I99</f>
        <v>0</v>
      </c>
      <c r="N93" s="24">
        <f>Assens!I99</f>
        <v>0</v>
      </c>
      <c r="O93" s="24">
        <f>Nyborg!I99</f>
        <v>0</v>
      </c>
      <c r="P93" s="24">
        <f>Nordfyn!I99</f>
        <v>0</v>
      </c>
      <c r="Q93" s="24">
        <f>Kerteminde!I99</f>
        <v>0</v>
      </c>
      <c r="R93" s="24">
        <f>Særtilskud!I99</f>
        <v>0</v>
      </c>
    </row>
    <row r="94" spans="1:18" x14ac:dyDescent="0.25">
      <c r="A94" s="2" t="s">
        <v>159</v>
      </c>
      <c r="B94" s="2" t="s">
        <v>160</v>
      </c>
      <c r="I94" s="30">
        <f t="shared" si="3"/>
        <v>0</v>
      </c>
      <c r="K94" s="24">
        <f>Administration!I100</f>
        <v>0</v>
      </c>
      <c r="L94" s="24">
        <f>Odense!I100</f>
        <v>0</v>
      </c>
      <c r="M94" s="24">
        <f>Laks!I100</f>
        <v>0</v>
      </c>
      <c r="N94" s="24">
        <f>Assens!I100</f>
        <v>0</v>
      </c>
      <c r="O94" s="24">
        <f>Nyborg!I100</f>
        <v>0</v>
      </c>
      <c r="P94" s="24">
        <f>Nordfyn!I100</f>
        <v>0</v>
      </c>
      <c r="Q94" s="24">
        <f>Kerteminde!I100</f>
        <v>0</v>
      </c>
      <c r="R94" s="24">
        <f>Særtilskud!I100</f>
        <v>0</v>
      </c>
    </row>
    <row r="95" spans="1:18" x14ac:dyDescent="0.25">
      <c r="A95" s="2" t="s">
        <v>161</v>
      </c>
      <c r="B95" s="2" t="s">
        <v>162</v>
      </c>
      <c r="C95" s="10">
        <v>-19759.669999999998</v>
      </c>
      <c r="D95" s="10">
        <v>-80000</v>
      </c>
      <c r="E95">
        <v>-75.3</v>
      </c>
      <c r="F95">
        <v>24.7</v>
      </c>
      <c r="G95" s="10">
        <v>60240.33</v>
      </c>
      <c r="I95" s="30">
        <f t="shared" si="3"/>
        <v>0</v>
      </c>
      <c r="K95" s="24">
        <f>Administration!I101</f>
        <v>0</v>
      </c>
      <c r="L95" s="24">
        <f>Odense!I101</f>
        <v>0</v>
      </c>
      <c r="M95" s="24">
        <f>Laks!I101</f>
        <v>0</v>
      </c>
      <c r="N95" s="24">
        <f>Assens!I101</f>
        <v>0</v>
      </c>
      <c r="O95" s="24">
        <f>Nyborg!I101</f>
        <v>0</v>
      </c>
      <c r="P95" s="24">
        <f>Nordfyn!I101</f>
        <v>0</v>
      </c>
      <c r="Q95" s="24">
        <f>Kerteminde!I101</f>
        <v>0</v>
      </c>
      <c r="R95" s="24">
        <f>Særtilskud!I101</f>
        <v>0</v>
      </c>
    </row>
    <row r="96" spans="1:18" x14ac:dyDescent="0.25">
      <c r="A96" s="2" t="s">
        <v>163</v>
      </c>
      <c r="B96" s="2" t="s">
        <v>164</v>
      </c>
      <c r="C96" s="10">
        <v>-41058.1</v>
      </c>
      <c r="D96" s="10">
        <v>-200000</v>
      </c>
      <c r="E96">
        <v>-79.47</v>
      </c>
      <c r="F96">
        <v>20.53</v>
      </c>
      <c r="G96" s="10">
        <v>158941.9</v>
      </c>
      <c r="I96" s="30">
        <f t="shared" si="3"/>
        <v>-100000</v>
      </c>
      <c r="K96" s="24">
        <f>Administration!I102</f>
        <v>-100000</v>
      </c>
      <c r="L96" s="24">
        <f>Odense!I102</f>
        <v>0</v>
      </c>
      <c r="M96" s="24">
        <f>Laks!I102</f>
        <v>0</v>
      </c>
      <c r="N96" s="24">
        <f>Assens!I102</f>
        <v>0</v>
      </c>
      <c r="O96" s="24">
        <f>Nyborg!I102</f>
        <v>0</v>
      </c>
      <c r="P96" s="24">
        <f>Nordfyn!I102</f>
        <v>0</v>
      </c>
      <c r="Q96" s="24">
        <f>Kerteminde!I102</f>
        <v>0</v>
      </c>
      <c r="R96" s="24">
        <f>Særtilskud!I102</f>
        <v>0</v>
      </c>
    </row>
    <row r="97" spans="1:18" x14ac:dyDescent="0.25">
      <c r="A97" s="2" t="s">
        <v>165</v>
      </c>
      <c r="B97" s="2" t="s">
        <v>166</v>
      </c>
      <c r="I97" s="30">
        <f t="shared" si="3"/>
        <v>0</v>
      </c>
      <c r="K97" s="24">
        <f>Administration!I103</f>
        <v>0</v>
      </c>
      <c r="L97" s="24">
        <f>Odense!I103</f>
        <v>0</v>
      </c>
      <c r="M97" s="24">
        <f>Laks!I103</f>
        <v>0</v>
      </c>
      <c r="N97" s="24">
        <f>Assens!I103</f>
        <v>0</v>
      </c>
      <c r="O97" s="24">
        <f>Nyborg!I103</f>
        <v>0</v>
      </c>
      <c r="P97" s="24">
        <f>Nordfyn!I103</f>
        <v>0</v>
      </c>
      <c r="Q97" s="24">
        <f>Kerteminde!I103</f>
        <v>0</v>
      </c>
      <c r="R97" s="24">
        <f>Særtilskud!I103</f>
        <v>0</v>
      </c>
    </row>
    <row r="98" spans="1:18" x14ac:dyDescent="0.25">
      <c r="A98" s="2" t="s">
        <v>167</v>
      </c>
      <c r="B98" s="2" t="s">
        <v>168</v>
      </c>
      <c r="I98" s="30">
        <f t="shared" si="3"/>
        <v>0</v>
      </c>
      <c r="K98" s="24">
        <f>Administration!I104</f>
        <v>0</v>
      </c>
      <c r="L98" s="24">
        <f>Odense!I104</f>
        <v>0</v>
      </c>
      <c r="M98" s="24">
        <f>Laks!I104</f>
        <v>0</v>
      </c>
      <c r="N98" s="24">
        <f>Assens!I104</f>
        <v>0</v>
      </c>
      <c r="O98" s="24">
        <f>Nyborg!I104</f>
        <v>0</v>
      </c>
      <c r="P98" s="24">
        <f>Nordfyn!I104</f>
        <v>0</v>
      </c>
      <c r="Q98" s="24">
        <f>Kerteminde!I104</f>
        <v>0</v>
      </c>
      <c r="R98" s="24">
        <f>Særtilskud!I104</f>
        <v>0</v>
      </c>
    </row>
    <row r="99" spans="1:18" x14ac:dyDescent="0.25">
      <c r="A99" s="2" t="s">
        <v>169</v>
      </c>
      <c r="B99" s="2" t="s">
        <v>170</v>
      </c>
      <c r="I99" s="30">
        <f t="shared" si="3"/>
        <v>0</v>
      </c>
      <c r="K99" s="24">
        <f>Administration!I105</f>
        <v>0</v>
      </c>
      <c r="L99" s="24">
        <f>Odense!I105</f>
        <v>0</v>
      </c>
      <c r="M99" s="24">
        <f>Laks!I105</f>
        <v>0</v>
      </c>
      <c r="N99" s="24">
        <f>Assens!I105</f>
        <v>0</v>
      </c>
      <c r="O99" s="24">
        <f>Nyborg!I105</f>
        <v>0</v>
      </c>
      <c r="P99" s="24">
        <f>Nordfyn!I105</f>
        <v>0</v>
      </c>
      <c r="Q99" s="24">
        <f>Kerteminde!I105</f>
        <v>0</v>
      </c>
      <c r="R99" s="24">
        <f>Særtilskud!I105</f>
        <v>0</v>
      </c>
    </row>
    <row r="100" spans="1:18" x14ac:dyDescent="0.25">
      <c r="A100" s="3" t="s">
        <v>171</v>
      </c>
      <c r="B100" s="3" t="s">
        <v>172</v>
      </c>
      <c r="C100" s="12">
        <v>-26528198.140000001</v>
      </c>
      <c r="D100" s="12">
        <v>-46629758.899999999</v>
      </c>
      <c r="E100" s="4">
        <v>-43.11</v>
      </c>
      <c r="F100" s="4">
        <v>56.89</v>
      </c>
      <c r="G100" s="12">
        <v>20101560.760000002</v>
      </c>
      <c r="I100" s="28">
        <f t="shared" si="3"/>
        <v>-50208260.650000006</v>
      </c>
      <c r="K100" s="29">
        <f>Administration!I106</f>
        <v>-8645733.9600000009</v>
      </c>
      <c r="L100" s="29">
        <f>Odense!I106</f>
        <v>-15207322.609999999</v>
      </c>
      <c r="M100" s="29">
        <f>Laks!I106</f>
        <v>-2111469.7599999998</v>
      </c>
      <c r="N100" s="29">
        <f>Assens!I106</f>
        <v>-6190202.1900000004</v>
      </c>
      <c r="O100" s="29">
        <f>Nyborg!I106</f>
        <v>-5295891.33</v>
      </c>
      <c r="P100" s="29">
        <f>Nordfyn!I106</f>
        <v>-7184991.9199999999</v>
      </c>
      <c r="Q100" s="29">
        <f>Kerteminde!I106</f>
        <v>-5572648.8799999999</v>
      </c>
      <c r="R100" s="29">
        <f>Særtilskud!I106</f>
        <v>0</v>
      </c>
    </row>
    <row r="101" spans="1:18" x14ac:dyDescent="0.25">
      <c r="A101" s="2" t="s">
        <v>12</v>
      </c>
      <c r="B101" s="2" t="s">
        <v>12</v>
      </c>
      <c r="I101" s="30"/>
      <c r="K101" s="24">
        <f>Administration!I107</f>
        <v>0</v>
      </c>
      <c r="L101" s="24">
        <f>Odense!I107</f>
        <v>0</v>
      </c>
      <c r="M101" s="24">
        <f>Laks!I107</f>
        <v>0</v>
      </c>
      <c r="N101" s="24">
        <f>Assens!I107</f>
        <v>0</v>
      </c>
      <c r="O101" s="24">
        <f>Nyborg!I107</f>
        <v>0</v>
      </c>
      <c r="P101" s="24">
        <f>Nordfyn!I107</f>
        <v>0</v>
      </c>
      <c r="Q101" s="24">
        <f>Kerteminde!I107</f>
        <v>0</v>
      </c>
      <c r="R101" s="24">
        <f>Særtilskud!I107</f>
        <v>0</v>
      </c>
    </row>
    <row r="102" spans="1:18" x14ac:dyDescent="0.25">
      <c r="A102" s="3" t="s">
        <v>173</v>
      </c>
      <c r="B102" s="3" t="s">
        <v>174</v>
      </c>
      <c r="C102" s="12"/>
      <c r="D102" s="12"/>
      <c r="E102" s="4"/>
      <c r="F102" s="4"/>
      <c r="G102" s="12"/>
      <c r="I102" s="28">
        <f t="shared" si="3"/>
        <v>0</v>
      </c>
      <c r="K102" s="29">
        <f>Administration!I108</f>
        <v>0</v>
      </c>
      <c r="L102" s="29">
        <f>Odense!I108</f>
        <v>0</v>
      </c>
      <c r="M102" s="29">
        <f>Laks!I108</f>
        <v>0</v>
      </c>
      <c r="N102" s="29">
        <f>Assens!I108</f>
        <v>0</v>
      </c>
      <c r="O102" s="29">
        <f>Nyborg!I108</f>
        <v>0</v>
      </c>
      <c r="P102" s="29">
        <f>Nordfyn!I108</f>
        <v>0</v>
      </c>
      <c r="Q102" s="29">
        <f>Kerteminde!I108</f>
        <v>0</v>
      </c>
      <c r="R102" s="29">
        <f>Særtilskud!I108</f>
        <v>0</v>
      </c>
    </row>
    <row r="103" spans="1:18" x14ac:dyDescent="0.25">
      <c r="A103" s="2" t="s">
        <v>175</v>
      </c>
      <c r="B103" s="2" t="s">
        <v>174</v>
      </c>
      <c r="C103" s="10">
        <v>-4227425.83</v>
      </c>
      <c r="D103" s="10">
        <v>-9275279.3300000001</v>
      </c>
      <c r="E103">
        <v>-54.42</v>
      </c>
      <c r="F103">
        <v>45.58</v>
      </c>
      <c r="G103" s="10">
        <v>5047853.5</v>
      </c>
      <c r="I103" s="30">
        <f t="shared" si="3"/>
        <v>0</v>
      </c>
      <c r="K103" s="24">
        <f>Administration!I109</f>
        <v>0</v>
      </c>
      <c r="L103" s="24">
        <f>Odense!I109</f>
        <v>0</v>
      </c>
      <c r="M103" s="24">
        <f>Laks!I109</f>
        <v>0</v>
      </c>
      <c r="N103" s="24">
        <f>Assens!I109</f>
        <v>0</v>
      </c>
      <c r="O103" s="24">
        <f>Nyborg!I109</f>
        <v>0</v>
      </c>
      <c r="P103" s="24">
        <f>Nordfyn!I109</f>
        <v>0</v>
      </c>
      <c r="Q103" s="24">
        <f>Kerteminde!I109</f>
        <v>0</v>
      </c>
      <c r="R103" s="24">
        <f>Særtilskud!I109</f>
        <v>0</v>
      </c>
    </row>
    <row r="104" spans="1:18" x14ac:dyDescent="0.25">
      <c r="A104" s="2" t="s">
        <v>176</v>
      </c>
      <c r="B104" s="2" t="s">
        <v>177</v>
      </c>
      <c r="I104" s="30">
        <f t="shared" si="3"/>
        <v>0</v>
      </c>
      <c r="K104" s="24">
        <f>Administration!I110</f>
        <v>0</v>
      </c>
      <c r="L104" s="24">
        <f>Odense!I110</f>
        <v>0</v>
      </c>
      <c r="M104" s="24">
        <f>Laks!I110</f>
        <v>0</v>
      </c>
      <c r="N104" s="24">
        <f>Assens!I110</f>
        <v>0</v>
      </c>
      <c r="O104" s="24">
        <f>Nyborg!I110</f>
        <v>0</v>
      </c>
      <c r="P104" s="24">
        <f>Nordfyn!I110</f>
        <v>0</v>
      </c>
      <c r="Q104" s="24">
        <f>Kerteminde!I110</f>
        <v>0</v>
      </c>
      <c r="R104" s="24">
        <f>Særtilskud!I110</f>
        <v>0</v>
      </c>
    </row>
    <row r="105" spans="1:18" x14ac:dyDescent="0.25">
      <c r="A105" s="3" t="s">
        <v>178</v>
      </c>
      <c r="B105" s="3" t="s">
        <v>179</v>
      </c>
      <c r="C105" s="12">
        <v>-4227425.83</v>
      </c>
      <c r="D105" s="12">
        <v>-9275279.3300000001</v>
      </c>
      <c r="E105" s="4">
        <v>-54.42</v>
      </c>
      <c r="F105" s="4">
        <v>45.58</v>
      </c>
      <c r="G105" s="12">
        <v>5047853.5</v>
      </c>
      <c r="I105" s="28">
        <f t="shared" si="3"/>
        <v>0</v>
      </c>
      <c r="K105" s="29">
        <f>Administration!I111</f>
        <v>0</v>
      </c>
      <c r="L105" s="29">
        <f>Odense!I111</f>
        <v>0</v>
      </c>
      <c r="M105" s="29">
        <f>Laks!I111</f>
        <v>0</v>
      </c>
      <c r="N105" s="29">
        <f>Assens!I111</f>
        <v>0</v>
      </c>
      <c r="O105" s="29">
        <f>Nyborg!I111</f>
        <v>0</v>
      </c>
      <c r="P105" s="29">
        <f>Nordfyn!I111</f>
        <v>0</v>
      </c>
      <c r="Q105" s="29">
        <f>Kerteminde!I111</f>
        <v>0</v>
      </c>
      <c r="R105" s="29">
        <f>Særtilskud!I111</f>
        <v>0</v>
      </c>
    </row>
    <row r="106" spans="1:18" x14ac:dyDescent="0.25">
      <c r="A106" s="2" t="s">
        <v>12</v>
      </c>
      <c r="B106" s="2" t="s">
        <v>12</v>
      </c>
      <c r="I106" s="30"/>
      <c r="K106" s="24">
        <f>Administration!I112</f>
        <v>0</v>
      </c>
      <c r="L106" s="24">
        <f>Odense!I112</f>
        <v>0</v>
      </c>
      <c r="M106" s="24">
        <f>Laks!I112</f>
        <v>0</v>
      </c>
      <c r="N106" s="24">
        <f>Assens!I112</f>
        <v>0</v>
      </c>
      <c r="O106" s="24">
        <f>Nyborg!I112</f>
        <v>0</v>
      </c>
      <c r="P106" s="24">
        <f>Nordfyn!I112</f>
        <v>0</v>
      </c>
      <c r="Q106" s="24">
        <f>Kerteminde!I112</f>
        <v>0</v>
      </c>
      <c r="R106" s="24">
        <f>Særtilskud!I112</f>
        <v>0</v>
      </c>
    </row>
    <row r="107" spans="1:18" x14ac:dyDescent="0.25">
      <c r="A107" s="3" t="s">
        <v>180</v>
      </c>
      <c r="B107" s="3" t="s">
        <v>181</v>
      </c>
      <c r="C107" s="12"/>
      <c r="D107" s="12"/>
      <c r="E107" s="4"/>
      <c r="F107" s="4"/>
      <c r="G107" s="12"/>
      <c r="I107" s="28">
        <f t="shared" si="3"/>
        <v>0</v>
      </c>
      <c r="K107" s="29">
        <f>Administration!I113</f>
        <v>0</v>
      </c>
      <c r="L107" s="29">
        <f>Odense!I113</f>
        <v>0</v>
      </c>
      <c r="M107" s="29">
        <f>Laks!I113</f>
        <v>0</v>
      </c>
      <c r="N107" s="29">
        <f>Assens!I113</f>
        <v>0</v>
      </c>
      <c r="O107" s="29">
        <f>Nyborg!I113</f>
        <v>0</v>
      </c>
      <c r="P107" s="29">
        <f>Nordfyn!I113</f>
        <v>0</v>
      </c>
      <c r="Q107" s="29">
        <f>Kerteminde!I113</f>
        <v>0</v>
      </c>
      <c r="R107" s="29">
        <f>Særtilskud!I113</f>
        <v>0</v>
      </c>
    </row>
    <row r="108" spans="1:18" x14ac:dyDescent="0.25">
      <c r="A108" s="2" t="s">
        <v>182</v>
      </c>
      <c r="B108" s="2" t="s">
        <v>183</v>
      </c>
      <c r="C108" s="10">
        <v>3086439.97</v>
      </c>
      <c r="D108" s="10">
        <v>8092420.9000000004</v>
      </c>
      <c r="E108">
        <v>-61.86</v>
      </c>
      <c r="F108">
        <v>38.14</v>
      </c>
      <c r="G108" s="10">
        <v>-5005980.93</v>
      </c>
      <c r="I108" s="30">
        <f t="shared" si="3"/>
        <v>4079145.7200000007</v>
      </c>
      <c r="K108" s="24">
        <f>Administration!I114</f>
        <v>1020565.56</v>
      </c>
      <c r="L108" s="24">
        <f>Odense!I114</f>
        <v>1984997.64</v>
      </c>
      <c r="M108" s="24">
        <f>Laks!I114</f>
        <v>53084.76</v>
      </c>
      <c r="N108" s="24">
        <f>Assens!I114</f>
        <v>326206.2</v>
      </c>
      <c r="O108" s="24">
        <f>Nyborg!I114</f>
        <v>383313.12</v>
      </c>
      <c r="P108" s="24">
        <f>Nordfyn!I114</f>
        <v>101064.72</v>
      </c>
      <c r="Q108" s="24">
        <f>Kerteminde!I114</f>
        <v>209913.72</v>
      </c>
      <c r="R108" s="24">
        <f>Særtilskud!I114</f>
        <v>0</v>
      </c>
    </row>
    <row r="109" spans="1:18" x14ac:dyDescent="0.25">
      <c r="A109" s="2" t="s">
        <v>184</v>
      </c>
      <c r="B109" s="2" t="s">
        <v>185</v>
      </c>
      <c r="C109" s="10">
        <v>713471.48</v>
      </c>
      <c r="G109" s="10">
        <v>713471.48</v>
      </c>
      <c r="I109" s="30">
        <f t="shared" si="3"/>
        <v>0</v>
      </c>
      <c r="K109" s="24">
        <f>Administration!I115</f>
        <v>0</v>
      </c>
      <c r="L109" s="24">
        <f>Odense!I115</f>
        <v>0</v>
      </c>
      <c r="M109" s="24">
        <f>Laks!I115</f>
        <v>0</v>
      </c>
      <c r="N109" s="24">
        <f>Assens!I115</f>
        <v>0</v>
      </c>
      <c r="O109" s="24">
        <f>Nyborg!I115</f>
        <v>0</v>
      </c>
      <c r="P109" s="24">
        <f>Nordfyn!I115</f>
        <v>0</v>
      </c>
      <c r="Q109" s="24">
        <f>Kerteminde!I115</f>
        <v>0</v>
      </c>
      <c r="R109" s="24">
        <f>Særtilskud!I115</f>
        <v>0</v>
      </c>
    </row>
    <row r="110" spans="1:18" x14ac:dyDescent="0.25">
      <c r="A110" s="2" t="s">
        <v>186</v>
      </c>
      <c r="B110" s="2" t="s">
        <v>187</v>
      </c>
      <c r="I110" s="30">
        <f t="shared" si="3"/>
        <v>0</v>
      </c>
      <c r="K110" s="24">
        <f>Administration!I116</f>
        <v>0</v>
      </c>
      <c r="L110" s="24">
        <f>Odense!I116</f>
        <v>0</v>
      </c>
      <c r="M110" s="24">
        <f>Laks!I116</f>
        <v>0</v>
      </c>
      <c r="N110" s="24">
        <f>Assens!I116</f>
        <v>0</v>
      </c>
      <c r="O110" s="24">
        <f>Nyborg!I116</f>
        <v>0</v>
      </c>
      <c r="P110" s="24">
        <f>Nordfyn!I116</f>
        <v>0</v>
      </c>
      <c r="Q110" s="24">
        <f>Kerteminde!I116</f>
        <v>0</v>
      </c>
      <c r="R110" s="24">
        <f>Særtilskud!I116</f>
        <v>0</v>
      </c>
    </row>
    <row r="111" spans="1:18" x14ac:dyDescent="0.25">
      <c r="A111" s="2" t="s">
        <v>188</v>
      </c>
      <c r="B111" s="2" t="s">
        <v>189</v>
      </c>
      <c r="C111" s="10">
        <v>7991.02</v>
      </c>
      <c r="D111" s="10">
        <v>131264.16</v>
      </c>
      <c r="E111">
        <v>-93.91</v>
      </c>
      <c r="F111">
        <v>6.09</v>
      </c>
      <c r="G111" s="10">
        <v>-123273.14</v>
      </c>
      <c r="I111" s="30">
        <f t="shared" si="3"/>
        <v>0</v>
      </c>
      <c r="K111" s="24">
        <f>Administration!I117</f>
        <v>0</v>
      </c>
      <c r="L111" s="24">
        <f>Odense!I117</f>
        <v>0</v>
      </c>
      <c r="M111" s="24">
        <f>Laks!I117</f>
        <v>0</v>
      </c>
      <c r="N111" s="24">
        <f>Assens!I117</f>
        <v>0</v>
      </c>
      <c r="O111" s="24">
        <f>Nyborg!I117</f>
        <v>0</v>
      </c>
      <c r="P111" s="24">
        <f>Nordfyn!I117</f>
        <v>0</v>
      </c>
      <c r="Q111" s="24">
        <f>Kerteminde!I117</f>
        <v>0</v>
      </c>
      <c r="R111" s="24">
        <f>Særtilskud!I117</f>
        <v>0</v>
      </c>
    </row>
    <row r="112" spans="1:18" x14ac:dyDescent="0.25">
      <c r="A112" s="2" t="s">
        <v>190</v>
      </c>
      <c r="B112" s="2" t="s">
        <v>191</v>
      </c>
      <c r="I112" s="30">
        <f t="shared" si="3"/>
        <v>0</v>
      </c>
      <c r="K112" s="24">
        <f>Administration!I118</f>
        <v>0</v>
      </c>
      <c r="L112" s="24">
        <f>Odense!I118</f>
        <v>0</v>
      </c>
      <c r="M112" s="24">
        <f>Laks!I118</f>
        <v>0</v>
      </c>
      <c r="N112" s="24">
        <f>Assens!I118</f>
        <v>0</v>
      </c>
      <c r="O112" s="24">
        <f>Nyborg!I118</f>
        <v>0</v>
      </c>
      <c r="P112" s="24">
        <f>Nordfyn!I118</f>
        <v>0</v>
      </c>
      <c r="Q112" s="24">
        <f>Kerteminde!I118</f>
        <v>0</v>
      </c>
      <c r="R112" s="24">
        <f>Særtilskud!I118</f>
        <v>0</v>
      </c>
    </row>
    <row r="113" spans="1:18" x14ac:dyDescent="0.25">
      <c r="A113" s="2" t="s">
        <v>192</v>
      </c>
      <c r="B113" s="2" t="s">
        <v>193</v>
      </c>
      <c r="D113" s="10">
        <v>198033.31</v>
      </c>
      <c r="E113">
        <v>-100</v>
      </c>
      <c r="G113" s="10">
        <v>-198033.31</v>
      </c>
      <c r="I113" s="30">
        <f t="shared" si="3"/>
        <v>0</v>
      </c>
      <c r="K113" s="24">
        <f>Administration!I119</f>
        <v>0</v>
      </c>
      <c r="L113" s="24">
        <f>Odense!I119</f>
        <v>0</v>
      </c>
      <c r="M113" s="24">
        <f>Laks!I119</f>
        <v>0</v>
      </c>
      <c r="N113" s="24">
        <f>Assens!I119</f>
        <v>0</v>
      </c>
      <c r="O113" s="24">
        <f>Nyborg!I119</f>
        <v>0</v>
      </c>
      <c r="P113" s="24">
        <f>Nordfyn!I119</f>
        <v>0</v>
      </c>
      <c r="Q113" s="24">
        <f>Kerteminde!I119</f>
        <v>0</v>
      </c>
      <c r="R113" s="24">
        <f>Særtilskud!I119</f>
        <v>0</v>
      </c>
    </row>
    <row r="114" spans="1:18" x14ac:dyDescent="0.25">
      <c r="A114" s="2" t="s">
        <v>194</v>
      </c>
      <c r="B114" s="2" t="s">
        <v>195</v>
      </c>
      <c r="C114" s="10">
        <v>16382.81</v>
      </c>
      <c r="D114" s="10">
        <v>122575.45</v>
      </c>
      <c r="E114">
        <v>-86.63</v>
      </c>
      <c r="F114">
        <v>13.37</v>
      </c>
      <c r="G114" s="10">
        <v>-106192.64</v>
      </c>
      <c r="I114" s="30">
        <f t="shared" ref="I114:I177" si="4">SUM(K114:R114)</f>
        <v>0</v>
      </c>
      <c r="K114" s="24">
        <f>Administration!I120</f>
        <v>0</v>
      </c>
      <c r="L114" s="24">
        <f>Odense!I120</f>
        <v>0</v>
      </c>
      <c r="M114" s="24">
        <f>Laks!I120</f>
        <v>0</v>
      </c>
      <c r="N114" s="24">
        <f>Assens!I120</f>
        <v>0</v>
      </c>
      <c r="O114" s="24">
        <f>Nyborg!I120</f>
        <v>0</v>
      </c>
      <c r="P114" s="24">
        <f>Nordfyn!I120</f>
        <v>0</v>
      </c>
      <c r="Q114" s="24">
        <f>Kerteminde!I120</f>
        <v>0</v>
      </c>
      <c r="R114" s="24">
        <f>Særtilskud!I120</f>
        <v>0</v>
      </c>
    </row>
    <row r="115" spans="1:18" x14ac:dyDescent="0.25">
      <c r="A115" s="3" t="s">
        <v>196</v>
      </c>
      <c r="B115" s="3" t="s">
        <v>197</v>
      </c>
      <c r="C115" s="12">
        <v>3824285.28</v>
      </c>
      <c r="D115" s="12">
        <v>8544293.8200000003</v>
      </c>
      <c r="E115" s="4">
        <v>-55.24</v>
      </c>
      <c r="F115" s="4">
        <v>44.76</v>
      </c>
      <c r="G115" s="12">
        <v>-4720008.54</v>
      </c>
      <c r="I115" s="28">
        <f t="shared" si="4"/>
        <v>4079145.7200000007</v>
      </c>
      <c r="K115" s="29">
        <f>Administration!I121</f>
        <v>1020565.56</v>
      </c>
      <c r="L115" s="29">
        <f>Odense!I121</f>
        <v>1984997.64</v>
      </c>
      <c r="M115" s="29">
        <f>Laks!I121</f>
        <v>53084.76</v>
      </c>
      <c r="N115" s="29">
        <f>Assens!I121</f>
        <v>326206.2</v>
      </c>
      <c r="O115" s="29">
        <f>Nyborg!I121</f>
        <v>383313.12</v>
      </c>
      <c r="P115" s="29">
        <f>Nordfyn!I121</f>
        <v>101064.72</v>
      </c>
      <c r="Q115" s="29">
        <f>Kerteminde!I121</f>
        <v>209913.72</v>
      </c>
      <c r="R115" s="29">
        <f>Særtilskud!I121</f>
        <v>0</v>
      </c>
    </row>
    <row r="116" spans="1:18" x14ac:dyDescent="0.25">
      <c r="A116" s="3" t="s">
        <v>198</v>
      </c>
      <c r="B116" s="3" t="s">
        <v>199</v>
      </c>
      <c r="C116" s="12">
        <v>-26931338.690000001</v>
      </c>
      <c r="D116" s="12">
        <v>-47360744.409999996</v>
      </c>
      <c r="E116" s="4">
        <v>-43.14</v>
      </c>
      <c r="F116" s="4">
        <v>56.86</v>
      </c>
      <c r="G116" s="12">
        <v>20429405.719999999</v>
      </c>
      <c r="I116" s="28">
        <f t="shared" si="4"/>
        <v>-46129114.930000007</v>
      </c>
      <c r="K116" s="29">
        <f>Administration!I122</f>
        <v>-7625168.4000000004</v>
      </c>
      <c r="L116" s="29">
        <f>Odense!I122</f>
        <v>-13222324.969999999</v>
      </c>
      <c r="M116" s="29">
        <f>Laks!I122</f>
        <v>-2058384.9999999998</v>
      </c>
      <c r="N116" s="29">
        <f>Assens!I122</f>
        <v>-5863995.9900000002</v>
      </c>
      <c r="O116" s="29">
        <f>Nyborg!I122</f>
        <v>-4912578.21</v>
      </c>
      <c r="P116" s="29">
        <f>Nordfyn!I122</f>
        <v>-7083927.2000000002</v>
      </c>
      <c r="Q116" s="29">
        <f>Kerteminde!I122</f>
        <v>-5362735.16</v>
      </c>
      <c r="R116" s="29">
        <f>Særtilskud!I122</f>
        <v>0</v>
      </c>
    </row>
    <row r="117" spans="1:18" x14ac:dyDescent="0.25">
      <c r="A117" s="2" t="s">
        <v>12</v>
      </c>
      <c r="B117" s="2" t="s">
        <v>12</v>
      </c>
      <c r="I117" s="30"/>
      <c r="K117" s="24">
        <f>Administration!I123</f>
        <v>0</v>
      </c>
      <c r="L117" s="24">
        <f>Odense!I123</f>
        <v>0</v>
      </c>
      <c r="M117" s="24">
        <f>Laks!I123</f>
        <v>0</v>
      </c>
      <c r="N117" s="24">
        <f>Assens!I123</f>
        <v>0</v>
      </c>
      <c r="O117" s="24">
        <f>Nyborg!I123</f>
        <v>0</v>
      </c>
      <c r="P117" s="24">
        <f>Nordfyn!I123</f>
        <v>0</v>
      </c>
      <c r="Q117" s="24">
        <f>Kerteminde!I123</f>
        <v>0</v>
      </c>
      <c r="R117" s="24">
        <f>Særtilskud!I123</f>
        <v>0</v>
      </c>
    </row>
    <row r="118" spans="1:18" x14ac:dyDescent="0.25">
      <c r="A118" s="3" t="s">
        <v>200</v>
      </c>
      <c r="B118" s="3" t="s">
        <v>201</v>
      </c>
      <c r="C118" s="12">
        <v>-27029517.530000001</v>
      </c>
      <c r="D118" s="12">
        <v>-47510856.219999999</v>
      </c>
      <c r="E118" s="4">
        <v>-43.11</v>
      </c>
      <c r="F118" s="4">
        <v>56.89</v>
      </c>
      <c r="G118" s="12">
        <v>20481338.690000001</v>
      </c>
      <c r="I118" s="28">
        <f t="shared" si="4"/>
        <v>-46256440.420000002</v>
      </c>
      <c r="K118" s="29">
        <f>Administration!I124</f>
        <v>-7612568.4000000004</v>
      </c>
      <c r="L118" s="29">
        <f>Odense!I124</f>
        <v>-13229324.969999999</v>
      </c>
      <c r="M118" s="29">
        <f>Laks!I124</f>
        <v>-2077264.0899999999</v>
      </c>
      <c r="N118" s="29">
        <f>Assens!I124</f>
        <v>-5899995.9900000002</v>
      </c>
      <c r="O118" s="29">
        <f>Nyborg!I124</f>
        <v>-4913578.21</v>
      </c>
      <c r="P118" s="29">
        <f>Nordfyn!I124</f>
        <v>-7083927.2000000002</v>
      </c>
      <c r="Q118" s="29">
        <f>Kerteminde!I124</f>
        <v>-5439781.5600000005</v>
      </c>
      <c r="R118" s="29">
        <f>Særtilskud!I124</f>
        <v>0</v>
      </c>
    </row>
    <row r="119" spans="1:18" x14ac:dyDescent="0.25">
      <c r="A119" s="2" t="s">
        <v>12</v>
      </c>
      <c r="B119" s="2" t="s">
        <v>12</v>
      </c>
      <c r="I119" s="30"/>
      <c r="K119" s="24">
        <f>Administration!I125</f>
        <v>0</v>
      </c>
      <c r="L119" s="24">
        <f>Odense!I125</f>
        <v>0</v>
      </c>
      <c r="M119" s="24">
        <f>Laks!I125</f>
        <v>0</v>
      </c>
      <c r="N119" s="24">
        <f>Assens!I125</f>
        <v>0</v>
      </c>
      <c r="O119" s="24">
        <f>Nyborg!I125</f>
        <v>0</v>
      </c>
      <c r="P119" s="24">
        <f>Nordfyn!I125</f>
        <v>0</v>
      </c>
      <c r="Q119" s="24">
        <f>Kerteminde!I125</f>
        <v>0</v>
      </c>
      <c r="R119" s="24">
        <f>Særtilskud!I125</f>
        <v>0</v>
      </c>
    </row>
    <row r="120" spans="1:18" x14ac:dyDescent="0.25">
      <c r="A120" s="3" t="s">
        <v>202</v>
      </c>
      <c r="B120" s="3" t="s">
        <v>203</v>
      </c>
      <c r="C120" s="12">
        <v>14790728.5</v>
      </c>
      <c r="D120" s="12">
        <v>26375188.370000001</v>
      </c>
      <c r="E120" s="4">
        <v>-43.92</v>
      </c>
      <c r="F120" s="4">
        <v>56.08</v>
      </c>
      <c r="G120" s="12">
        <v>-11584459.869999999</v>
      </c>
      <c r="I120" s="28">
        <f t="shared" si="4"/>
        <v>26701779.240000002</v>
      </c>
      <c r="K120" s="29">
        <f>Administration!I126</f>
        <v>-5199298.4000000004</v>
      </c>
      <c r="L120" s="29">
        <f>Odense!I126</f>
        <v>7016059.6400000006</v>
      </c>
      <c r="M120" s="29">
        <f>Laks!I126</f>
        <v>1021115.9100000001</v>
      </c>
      <c r="N120" s="29">
        <f>Assens!I126</f>
        <v>3078764.01</v>
      </c>
      <c r="O120" s="29">
        <f>Nyborg!I126</f>
        <v>2299394.84</v>
      </c>
      <c r="P120" s="29">
        <f>Nordfyn!I126</f>
        <v>4110922.8</v>
      </c>
      <c r="Q120" s="29">
        <f>Kerteminde!I126</f>
        <v>3298620.4399999995</v>
      </c>
      <c r="R120" s="29">
        <f>Særtilskud!I126</f>
        <v>11076200</v>
      </c>
    </row>
    <row r="121" spans="1:18" x14ac:dyDescent="0.25">
      <c r="A121" s="2" t="s">
        <v>12</v>
      </c>
      <c r="B121" s="2" t="s">
        <v>12</v>
      </c>
      <c r="I121" s="30"/>
      <c r="K121" s="24">
        <f>Administration!I127</f>
        <v>0</v>
      </c>
      <c r="L121" s="24">
        <f>Odense!I127</f>
        <v>0</v>
      </c>
      <c r="M121" s="24">
        <f>Laks!I127</f>
        <v>0</v>
      </c>
      <c r="N121" s="24">
        <f>Assens!I127</f>
        <v>0</v>
      </c>
      <c r="O121" s="24">
        <f>Nyborg!I127</f>
        <v>0</v>
      </c>
      <c r="P121" s="24">
        <f>Nordfyn!I127</f>
        <v>0</v>
      </c>
      <c r="Q121" s="24">
        <f>Kerteminde!I127</f>
        <v>0</v>
      </c>
      <c r="R121" s="24">
        <f>Særtilskud!I127</f>
        <v>0</v>
      </c>
    </row>
    <row r="122" spans="1:18" x14ac:dyDescent="0.25">
      <c r="A122" s="3" t="s">
        <v>204</v>
      </c>
      <c r="B122" s="3" t="s">
        <v>205</v>
      </c>
      <c r="C122" s="12"/>
      <c r="D122" s="12"/>
      <c r="E122" s="4"/>
      <c r="F122" s="4"/>
      <c r="G122" s="12"/>
      <c r="I122" s="28">
        <f t="shared" si="4"/>
        <v>0</v>
      </c>
      <c r="K122" s="29">
        <f>Administration!I128</f>
        <v>0</v>
      </c>
      <c r="L122" s="29">
        <f>Odense!I128</f>
        <v>0</v>
      </c>
      <c r="M122" s="29">
        <f>Laks!I128</f>
        <v>0</v>
      </c>
      <c r="N122" s="29">
        <f>Assens!I128</f>
        <v>0</v>
      </c>
      <c r="O122" s="29">
        <f>Nyborg!I128</f>
        <v>0</v>
      </c>
      <c r="P122" s="29">
        <f>Nordfyn!I128</f>
        <v>0</v>
      </c>
      <c r="Q122" s="29">
        <f>Kerteminde!I128</f>
        <v>0</v>
      </c>
      <c r="R122" s="29">
        <f>Særtilskud!I128</f>
        <v>0</v>
      </c>
    </row>
    <row r="123" spans="1:18" x14ac:dyDescent="0.25">
      <c r="A123" s="2" t="s">
        <v>206</v>
      </c>
      <c r="B123" s="2" t="s">
        <v>207</v>
      </c>
      <c r="C123" s="10">
        <v>164061.28</v>
      </c>
      <c r="D123" s="10">
        <v>447998.31</v>
      </c>
      <c r="E123">
        <v>-63.38</v>
      </c>
      <c r="F123">
        <v>36.619999999999997</v>
      </c>
      <c r="G123" s="10">
        <v>-283937.03000000003</v>
      </c>
      <c r="I123" s="30">
        <f t="shared" si="4"/>
        <v>267000</v>
      </c>
      <c r="K123" s="24">
        <f>Administration!I129</f>
        <v>0</v>
      </c>
      <c r="L123" s="24">
        <f>Odense!I129</f>
        <v>105000</v>
      </c>
      <c r="M123" s="24">
        <f>Laks!I129</f>
        <v>0</v>
      </c>
      <c r="N123" s="24">
        <f>Assens!I129</f>
        <v>50000</v>
      </c>
      <c r="O123" s="24">
        <f>Nyborg!I129</f>
        <v>25000</v>
      </c>
      <c r="P123" s="24">
        <f>Nordfyn!I129</f>
        <v>55000</v>
      </c>
      <c r="Q123" s="24">
        <f>Kerteminde!I129</f>
        <v>32000</v>
      </c>
      <c r="R123" s="24">
        <f>Særtilskud!I129</f>
        <v>0</v>
      </c>
    </row>
    <row r="124" spans="1:18" x14ac:dyDescent="0.25">
      <c r="A124" s="2" t="s">
        <v>208</v>
      </c>
      <c r="B124" s="2" t="s">
        <v>209</v>
      </c>
      <c r="C124" s="10">
        <v>412075.8</v>
      </c>
      <c r="D124" s="10">
        <v>70436.92</v>
      </c>
      <c r="E124">
        <v>485.03</v>
      </c>
      <c r="F124">
        <v>585.03</v>
      </c>
      <c r="G124" s="10">
        <v>341638.88</v>
      </c>
      <c r="I124" s="30">
        <f t="shared" si="4"/>
        <v>0</v>
      </c>
      <c r="K124" s="24">
        <f>Administration!I130</f>
        <v>0</v>
      </c>
      <c r="L124" s="24">
        <f>Odense!I130</f>
        <v>0</v>
      </c>
      <c r="M124" s="24">
        <f>Laks!I130</f>
        <v>0</v>
      </c>
      <c r="N124" s="24">
        <f>Assens!I130</f>
        <v>0</v>
      </c>
      <c r="O124" s="24">
        <f>Nyborg!I130</f>
        <v>0</v>
      </c>
      <c r="P124" s="24">
        <f>Nordfyn!I130</f>
        <v>0</v>
      </c>
      <c r="Q124" s="24">
        <f>Kerteminde!I130</f>
        <v>0</v>
      </c>
      <c r="R124" s="24">
        <f>Særtilskud!I130</f>
        <v>0</v>
      </c>
    </row>
    <row r="125" spans="1:18" x14ac:dyDescent="0.25">
      <c r="A125" s="2" t="s">
        <v>210</v>
      </c>
      <c r="B125" s="2" t="s">
        <v>211</v>
      </c>
      <c r="D125" s="10">
        <v>15135</v>
      </c>
      <c r="E125">
        <v>-100</v>
      </c>
      <c r="G125" s="10">
        <v>-15135</v>
      </c>
      <c r="I125" s="30">
        <f t="shared" si="4"/>
        <v>0</v>
      </c>
      <c r="K125" s="24">
        <f>Administration!I131</f>
        <v>0</v>
      </c>
      <c r="L125" s="24">
        <f>Odense!I131</f>
        <v>0</v>
      </c>
      <c r="M125" s="24">
        <f>Laks!I131</f>
        <v>0</v>
      </c>
      <c r="N125" s="24">
        <f>Assens!I131</f>
        <v>0</v>
      </c>
      <c r="O125" s="24">
        <f>Nyborg!I131</f>
        <v>0</v>
      </c>
      <c r="P125" s="24">
        <f>Nordfyn!I131</f>
        <v>0</v>
      </c>
      <c r="Q125" s="24">
        <f>Kerteminde!I131</f>
        <v>0</v>
      </c>
      <c r="R125" s="24">
        <f>Særtilskud!I131</f>
        <v>0</v>
      </c>
    </row>
    <row r="126" spans="1:18" x14ac:dyDescent="0.25">
      <c r="A126" s="2" t="s">
        <v>212</v>
      </c>
      <c r="B126" s="2" t="s">
        <v>213</v>
      </c>
      <c r="I126" s="30">
        <f t="shared" si="4"/>
        <v>0</v>
      </c>
      <c r="K126" s="24">
        <f>Administration!I132</f>
        <v>0</v>
      </c>
      <c r="L126" s="24">
        <f>Odense!I132</f>
        <v>0</v>
      </c>
      <c r="M126" s="24">
        <f>Laks!I132</f>
        <v>0</v>
      </c>
      <c r="N126" s="24">
        <f>Assens!I132</f>
        <v>0</v>
      </c>
      <c r="O126" s="24">
        <f>Nyborg!I132</f>
        <v>0</v>
      </c>
      <c r="P126" s="24">
        <f>Nordfyn!I132</f>
        <v>0</v>
      </c>
      <c r="Q126" s="24">
        <f>Kerteminde!I132</f>
        <v>0</v>
      </c>
      <c r="R126" s="24">
        <f>Særtilskud!I132</f>
        <v>0</v>
      </c>
    </row>
    <row r="127" spans="1:18" x14ac:dyDescent="0.25">
      <c r="A127" s="2" t="s">
        <v>214</v>
      </c>
      <c r="B127" s="2" t="s">
        <v>215</v>
      </c>
      <c r="I127" s="30">
        <f t="shared" si="4"/>
        <v>0</v>
      </c>
      <c r="K127" s="24">
        <f>Administration!I133</f>
        <v>0</v>
      </c>
      <c r="L127" s="24">
        <f>Odense!I133</f>
        <v>0</v>
      </c>
      <c r="M127" s="24">
        <f>Laks!I133</f>
        <v>0</v>
      </c>
      <c r="N127" s="24">
        <f>Assens!I133</f>
        <v>0</v>
      </c>
      <c r="O127" s="24">
        <f>Nyborg!I133</f>
        <v>0</v>
      </c>
      <c r="P127" s="24">
        <f>Nordfyn!I133</f>
        <v>0</v>
      </c>
      <c r="Q127" s="24">
        <f>Kerteminde!I133</f>
        <v>0</v>
      </c>
      <c r="R127" s="24">
        <f>Særtilskud!I133</f>
        <v>0</v>
      </c>
    </row>
    <row r="128" spans="1:18" x14ac:dyDescent="0.25">
      <c r="A128" s="2" t="s">
        <v>216</v>
      </c>
      <c r="B128" s="2" t="s">
        <v>217</v>
      </c>
      <c r="I128" s="30">
        <f t="shared" si="4"/>
        <v>0</v>
      </c>
      <c r="K128" s="24">
        <f>Administration!I134</f>
        <v>0</v>
      </c>
      <c r="L128" s="24">
        <f>Odense!I134</f>
        <v>0</v>
      </c>
      <c r="M128" s="24">
        <f>Laks!I134</f>
        <v>0</v>
      </c>
      <c r="N128" s="24">
        <f>Assens!I134</f>
        <v>0</v>
      </c>
      <c r="O128" s="24">
        <f>Nyborg!I134</f>
        <v>0</v>
      </c>
      <c r="P128" s="24">
        <f>Nordfyn!I134</f>
        <v>0</v>
      </c>
      <c r="Q128" s="24">
        <f>Kerteminde!I134</f>
        <v>0</v>
      </c>
      <c r="R128" s="24">
        <f>Særtilskud!I134</f>
        <v>0</v>
      </c>
    </row>
    <row r="129" spans="1:18" x14ac:dyDescent="0.25">
      <c r="A129" s="3" t="s">
        <v>218</v>
      </c>
      <c r="B129" s="3" t="s">
        <v>219</v>
      </c>
      <c r="C129" s="12">
        <v>576137.07999999996</v>
      </c>
      <c r="D129" s="12">
        <v>533570.23</v>
      </c>
      <c r="E129" s="4">
        <v>7.98</v>
      </c>
      <c r="F129" s="4">
        <v>107.98</v>
      </c>
      <c r="G129" s="12">
        <v>42566.85</v>
      </c>
      <c r="I129" s="28">
        <f t="shared" si="4"/>
        <v>267000</v>
      </c>
      <c r="K129" s="29">
        <f>Administration!I135</f>
        <v>0</v>
      </c>
      <c r="L129" s="29">
        <f>Odense!I135</f>
        <v>105000</v>
      </c>
      <c r="M129" s="29">
        <f>Laks!I135</f>
        <v>0</v>
      </c>
      <c r="N129" s="29">
        <f>Assens!I135</f>
        <v>50000</v>
      </c>
      <c r="O129" s="29">
        <f>Nyborg!I135</f>
        <v>25000</v>
      </c>
      <c r="P129" s="29">
        <f>Nordfyn!I135</f>
        <v>55000</v>
      </c>
      <c r="Q129" s="29">
        <f>Kerteminde!I135</f>
        <v>32000</v>
      </c>
      <c r="R129" s="29">
        <f>Særtilskud!I135</f>
        <v>0</v>
      </c>
    </row>
    <row r="130" spans="1:18" x14ac:dyDescent="0.25">
      <c r="A130" s="2" t="s">
        <v>12</v>
      </c>
      <c r="B130" s="2" t="s">
        <v>12</v>
      </c>
      <c r="I130" s="30"/>
      <c r="K130" s="24">
        <f>Administration!I136</f>
        <v>0</v>
      </c>
      <c r="L130" s="24">
        <f>Odense!I136</f>
        <v>0</v>
      </c>
      <c r="M130" s="24">
        <f>Laks!I136</f>
        <v>0</v>
      </c>
      <c r="N130" s="24">
        <f>Assens!I136</f>
        <v>0</v>
      </c>
      <c r="O130" s="24">
        <f>Nyborg!I136</f>
        <v>0</v>
      </c>
      <c r="P130" s="24">
        <f>Nordfyn!I136</f>
        <v>0</v>
      </c>
      <c r="Q130" s="24">
        <f>Kerteminde!I136</f>
        <v>0</v>
      </c>
      <c r="R130" s="24">
        <f>Særtilskud!I136</f>
        <v>0</v>
      </c>
    </row>
    <row r="131" spans="1:18" x14ac:dyDescent="0.25">
      <c r="A131" s="3" t="s">
        <v>220</v>
      </c>
      <c r="B131" s="3" t="s">
        <v>221</v>
      </c>
      <c r="C131" s="12"/>
      <c r="D131" s="12"/>
      <c r="E131" s="4"/>
      <c r="F131" s="4"/>
      <c r="G131" s="12"/>
      <c r="I131" s="28">
        <f t="shared" si="4"/>
        <v>0</v>
      </c>
      <c r="K131" s="29">
        <f>Administration!I137</f>
        <v>0</v>
      </c>
      <c r="L131" s="29">
        <f>Odense!I137</f>
        <v>0</v>
      </c>
      <c r="M131" s="29">
        <f>Laks!I137</f>
        <v>0</v>
      </c>
      <c r="N131" s="29">
        <f>Assens!I137</f>
        <v>0</v>
      </c>
      <c r="O131" s="29">
        <f>Nyborg!I137</f>
        <v>0</v>
      </c>
      <c r="P131" s="29">
        <f>Nordfyn!I137</f>
        <v>0</v>
      </c>
      <c r="Q131" s="29">
        <f>Kerteminde!I137</f>
        <v>0</v>
      </c>
      <c r="R131" s="29">
        <f>Særtilskud!I137</f>
        <v>0</v>
      </c>
    </row>
    <row r="132" spans="1:18" x14ac:dyDescent="0.25">
      <c r="A132" s="2" t="s">
        <v>222</v>
      </c>
      <c r="B132" s="2" t="s">
        <v>223</v>
      </c>
      <c r="D132" s="10">
        <v>-2000000</v>
      </c>
      <c r="E132">
        <v>-100</v>
      </c>
      <c r="G132" s="10">
        <v>2000000</v>
      </c>
      <c r="I132" s="30">
        <f t="shared" si="4"/>
        <v>-3500000</v>
      </c>
      <c r="K132" s="24">
        <f>Administration!I138</f>
        <v>-3500000</v>
      </c>
      <c r="L132" s="24">
        <f>Odense!I138</f>
        <v>0</v>
      </c>
      <c r="M132" s="24">
        <f>Laks!I138</f>
        <v>0</v>
      </c>
      <c r="N132" s="24">
        <f>Assens!I138</f>
        <v>0</v>
      </c>
      <c r="O132" s="24">
        <f>Nyborg!I138</f>
        <v>0</v>
      </c>
      <c r="P132" s="24">
        <f>Nordfyn!I138</f>
        <v>0</v>
      </c>
      <c r="Q132" s="24">
        <f>Kerteminde!I138</f>
        <v>0</v>
      </c>
      <c r="R132" s="24">
        <f>Særtilskud!I138</f>
        <v>0</v>
      </c>
    </row>
    <row r="133" spans="1:18" x14ac:dyDescent="0.25">
      <c r="A133" s="2" t="s">
        <v>224</v>
      </c>
      <c r="B133" s="2" t="s">
        <v>225</v>
      </c>
      <c r="D133" s="10">
        <v>15880826.49</v>
      </c>
      <c r="E133">
        <v>-100</v>
      </c>
      <c r="G133" s="10">
        <v>-15880826.49</v>
      </c>
      <c r="I133" s="30">
        <f t="shared" si="4"/>
        <v>17490533.399999999</v>
      </c>
      <c r="K133" s="24">
        <f>Administration!I139</f>
        <v>17490533.399999999</v>
      </c>
      <c r="L133" s="24">
        <f>Odense!I139</f>
        <v>0</v>
      </c>
      <c r="M133" s="24">
        <f>Laks!I139</f>
        <v>0</v>
      </c>
      <c r="N133" s="24">
        <f>Assens!I139</f>
        <v>0</v>
      </c>
      <c r="O133" s="24">
        <f>Nyborg!I139</f>
        <v>0</v>
      </c>
      <c r="P133" s="24">
        <f>Nordfyn!I139</f>
        <v>0</v>
      </c>
      <c r="Q133" s="24">
        <f>Kerteminde!I139</f>
        <v>0</v>
      </c>
      <c r="R133" s="24">
        <f>Særtilskud!I139</f>
        <v>0</v>
      </c>
    </row>
    <row r="134" spans="1:18" x14ac:dyDescent="0.25">
      <c r="A134" s="2" t="s">
        <v>226</v>
      </c>
      <c r="B134" s="2" t="s">
        <v>227</v>
      </c>
      <c r="C134" s="10">
        <v>-3999932.21</v>
      </c>
      <c r="D134" s="10">
        <v>-15880826.49</v>
      </c>
      <c r="E134">
        <v>-74.81</v>
      </c>
      <c r="F134">
        <v>25.19</v>
      </c>
      <c r="G134" s="10">
        <v>11880894.279999999</v>
      </c>
      <c r="I134" s="30">
        <f t="shared" si="4"/>
        <v>-17490533.399999999</v>
      </c>
      <c r="K134" s="24">
        <f>Administration!I140</f>
        <v>0</v>
      </c>
      <c r="L134" s="24">
        <f>Odense!I140</f>
        <v>-6695762.2392999995</v>
      </c>
      <c r="M134" s="24">
        <f>Laks!I140</f>
        <v>-211146.976</v>
      </c>
      <c r="N134" s="24">
        <f>Assens!I140</f>
        <v>-2591907.9635999999</v>
      </c>
      <c r="O134" s="24">
        <f>Nyborg!I140</f>
        <v>-1943930.9726999998</v>
      </c>
      <c r="P134" s="24">
        <f>Nordfyn!I140</f>
        <v>-3455877.2848</v>
      </c>
      <c r="Q134" s="24">
        <f>Kerteminde!I140</f>
        <v>-2591907.9635999999</v>
      </c>
      <c r="R134" s="24">
        <f>Særtilskud!I140</f>
        <v>0</v>
      </c>
    </row>
    <row r="135" spans="1:18" x14ac:dyDescent="0.25">
      <c r="A135" s="2" t="s">
        <v>228</v>
      </c>
      <c r="B135" s="2" t="s">
        <v>229</v>
      </c>
      <c r="C135" s="10">
        <v>3999932.21</v>
      </c>
      <c r="G135" s="10">
        <v>3999932.21</v>
      </c>
      <c r="I135" s="30">
        <f t="shared" si="4"/>
        <v>0</v>
      </c>
      <c r="K135" s="24">
        <f>Administration!I141</f>
        <v>0</v>
      </c>
      <c r="L135" s="24">
        <f>Odense!I141</f>
        <v>0</v>
      </c>
      <c r="M135" s="24">
        <f>Laks!I141</f>
        <v>0</v>
      </c>
      <c r="N135" s="24">
        <f>Assens!I141</f>
        <v>0</v>
      </c>
      <c r="O135" s="24">
        <f>Nyborg!I141</f>
        <v>0</v>
      </c>
      <c r="P135" s="24">
        <f>Nordfyn!I141</f>
        <v>0</v>
      </c>
      <c r="Q135" s="24">
        <f>Kerteminde!I141</f>
        <v>0</v>
      </c>
      <c r="R135" s="24">
        <f>Særtilskud!I141</f>
        <v>0</v>
      </c>
    </row>
    <row r="136" spans="1:18" x14ac:dyDescent="0.25">
      <c r="A136" s="2" t="s">
        <v>230</v>
      </c>
      <c r="B136" s="2" t="s">
        <v>231</v>
      </c>
      <c r="C136" s="10">
        <v>-12177.62</v>
      </c>
      <c r="D136" s="10">
        <v>-26581</v>
      </c>
      <c r="E136">
        <v>-54.19</v>
      </c>
      <c r="F136">
        <v>45.81</v>
      </c>
      <c r="G136" s="10">
        <v>14403.38</v>
      </c>
      <c r="I136" s="30">
        <f t="shared" si="4"/>
        <v>-27545</v>
      </c>
      <c r="K136" s="24">
        <f>Administration!I142</f>
        <v>-5000</v>
      </c>
      <c r="L136" s="24">
        <f>Odense!I142</f>
        <v>-12500</v>
      </c>
      <c r="M136" s="24">
        <f>Laks!I142</f>
        <v>-5045</v>
      </c>
      <c r="N136" s="24">
        <f>Assens!I142</f>
        <v>-5000</v>
      </c>
      <c r="O136" s="24">
        <f>Nyborg!I142</f>
        <v>0</v>
      </c>
      <c r="P136" s="24">
        <f>Nordfyn!I142</f>
        <v>0</v>
      </c>
      <c r="Q136" s="24">
        <f>Kerteminde!I142</f>
        <v>0</v>
      </c>
      <c r="R136" s="24">
        <f>Særtilskud!I142</f>
        <v>0</v>
      </c>
    </row>
    <row r="137" spans="1:18" x14ac:dyDescent="0.25">
      <c r="A137" s="2" t="s">
        <v>232</v>
      </c>
      <c r="B137" s="2" t="s">
        <v>233</v>
      </c>
      <c r="C137" s="10">
        <v>-75508.3</v>
      </c>
      <c r="D137" s="10">
        <v>-216296</v>
      </c>
      <c r="E137">
        <v>-65.09</v>
      </c>
      <c r="F137">
        <v>34.909999999999997</v>
      </c>
      <c r="G137" s="10">
        <v>140787.70000000001</v>
      </c>
      <c r="I137" s="30">
        <f t="shared" si="4"/>
        <v>-157090</v>
      </c>
      <c r="K137" s="24">
        <f>Administration!I143</f>
        <v>-40000</v>
      </c>
      <c r="L137" s="24">
        <f>Odense!I143</f>
        <v>-46000</v>
      </c>
      <c r="M137" s="24">
        <f>Laks!I143</f>
        <v>-10090</v>
      </c>
      <c r="N137" s="24">
        <f>Assens!I143</f>
        <v>-12500</v>
      </c>
      <c r="O137" s="24">
        <f>Nyborg!I143</f>
        <v>-26000</v>
      </c>
      <c r="P137" s="24">
        <f>Nordfyn!I143</f>
        <v>-15000</v>
      </c>
      <c r="Q137" s="24">
        <f>Kerteminde!I143</f>
        <v>-7500</v>
      </c>
      <c r="R137" s="24">
        <f>Særtilskud!I143</f>
        <v>0</v>
      </c>
    </row>
    <row r="138" spans="1:18" x14ac:dyDescent="0.25">
      <c r="A138" s="2" t="s">
        <v>234</v>
      </c>
      <c r="B138" s="2" t="s">
        <v>235</v>
      </c>
      <c r="C138" s="10">
        <v>-770</v>
      </c>
      <c r="D138" s="10">
        <v>-25180</v>
      </c>
      <c r="E138">
        <v>-96.94</v>
      </c>
      <c r="F138">
        <v>3.06</v>
      </c>
      <c r="G138" s="10">
        <v>24410</v>
      </c>
      <c r="I138" s="30">
        <f t="shared" si="4"/>
        <v>0</v>
      </c>
      <c r="K138" s="24">
        <f>Administration!I144</f>
        <v>0</v>
      </c>
      <c r="L138" s="24">
        <f>Odense!I144</f>
        <v>0</v>
      </c>
      <c r="M138" s="24">
        <f>Laks!I144</f>
        <v>0</v>
      </c>
      <c r="N138" s="24">
        <f>Assens!I144</f>
        <v>0</v>
      </c>
      <c r="O138" s="24">
        <f>Nyborg!I144</f>
        <v>0</v>
      </c>
      <c r="P138" s="24">
        <f>Nordfyn!I144</f>
        <v>0</v>
      </c>
      <c r="Q138" s="24">
        <f>Kerteminde!I144</f>
        <v>0</v>
      </c>
      <c r="R138" s="24">
        <f>Særtilskud!I144</f>
        <v>0</v>
      </c>
    </row>
    <row r="139" spans="1:18" x14ac:dyDescent="0.25">
      <c r="A139" s="2" t="s">
        <v>236</v>
      </c>
      <c r="B139" s="2" t="s">
        <v>237</v>
      </c>
      <c r="C139" s="10">
        <v>-2991.48</v>
      </c>
      <c r="D139" s="10">
        <v>-35782.11</v>
      </c>
      <c r="E139">
        <v>-91.64</v>
      </c>
      <c r="F139">
        <v>8.36</v>
      </c>
      <c r="G139" s="10">
        <v>32790.629999999997</v>
      </c>
      <c r="I139" s="30">
        <f t="shared" si="4"/>
        <v>-10057.11</v>
      </c>
      <c r="K139" s="24">
        <f>Administration!I145</f>
        <v>-5000</v>
      </c>
      <c r="L139" s="24">
        <f>Odense!I145</f>
        <v>0</v>
      </c>
      <c r="M139" s="24">
        <f>Laks!I145</f>
        <v>-5057.1099999999997</v>
      </c>
      <c r="N139" s="24">
        <f>Assens!I145</f>
        <v>0</v>
      </c>
      <c r="O139" s="24">
        <f>Nyborg!I145</f>
        <v>0</v>
      </c>
      <c r="P139" s="24">
        <f>Nordfyn!I145</f>
        <v>0</v>
      </c>
      <c r="Q139" s="24">
        <f>Kerteminde!I145</f>
        <v>0</v>
      </c>
      <c r="R139" s="24">
        <f>Særtilskud!I145</f>
        <v>0</v>
      </c>
    </row>
    <row r="140" spans="1:18" x14ac:dyDescent="0.25">
      <c r="A140" s="2" t="s">
        <v>238</v>
      </c>
      <c r="B140" s="2" t="s">
        <v>239</v>
      </c>
      <c r="C140" s="10">
        <v>-4163.91</v>
      </c>
      <c r="D140" s="10">
        <v>-76540</v>
      </c>
      <c r="E140">
        <v>-94.56</v>
      </c>
      <c r="F140">
        <v>5.44</v>
      </c>
      <c r="G140" s="10">
        <v>72376.09</v>
      </c>
      <c r="I140" s="30">
        <f t="shared" si="4"/>
        <v>-35572</v>
      </c>
      <c r="K140" s="24">
        <f>Administration!I146</f>
        <v>-15000</v>
      </c>
      <c r="L140" s="24">
        <f>Odense!I146</f>
        <v>-2500</v>
      </c>
      <c r="M140" s="24">
        <f>Laks!I146</f>
        <v>-8072</v>
      </c>
      <c r="N140" s="24">
        <f>Assens!I146</f>
        <v>-2500</v>
      </c>
      <c r="O140" s="24">
        <f>Nyborg!I146</f>
        <v>-2500</v>
      </c>
      <c r="P140" s="24">
        <f>Nordfyn!I146</f>
        <v>-2500</v>
      </c>
      <c r="Q140" s="24">
        <f>Kerteminde!I146</f>
        <v>-2500</v>
      </c>
      <c r="R140" s="24">
        <f>Særtilskud!I146</f>
        <v>0</v>
      </c>
    </row>
    <row r="141" spans="1:18" x14ac:dyDescent="0.25">
      <c r="A141" s="2" t="s">
        <v>240</v>
      </c>
      <c r="B141" s="2" t="s">
        <v>241</v>
      </c>
      <c r="C141" s="10">
        <v>-909156.78</v>
      </c>
      <c r="G141" s="10">
        <v>-909156.78</v>
      </c>
      <c r="I141" s="30">
        <f t="shared" si="4"/>
        <v>-50000</v>
      </c>
      <c r="K141" s="24">
        <f>Administration!I147</f>
        <v>0</v>
      </c>
      <c r="L141" s="24">
        <f>Odense!I147</f>
        <v>0</v>
      </c>
      <c r="M141" s="24">
        <f>Laks!I147</f>
        <v>-50000</v>
      </c>
      <c r="N141" s="24">
        <f>Assens!I147</f>
        <v>0</v>
      </c>
      <c r="O141" s="24">
        <f>Nyborg!I147</f>
        <v>0</v>
      </c>
      <c r="P141" s="24">
        <f>Nordfyn!I147</f>
        <v>0</v>
      </c>
      <c r="Q141" s="24">
        <f>Kerteminde!I147</f>
        <v>0</v>
      </c>
      <c r="R141" s="24">
        <f>Særtilskud!I147</f>
        <v>0</v>
      </c>
    </row>
    <row r="142" spans="1:18" x14ac:dyDescent="0.25">
      <c r="A142" s="2" t="s">
        <v>242</v>
      </c>
      <c r="B142" s="2" t="s">
        <v>243</v>
      </c>
      <c r="C142" s="10">
        <v>-16355.99</v>
      </c>
      <c r="D142" s="10">
        <v>-216935</v>
      </c>
      <c r="E142">
        <v>-92.46</v>
      </c>
      <c r="F142">
        <v>7.54</v>
      </c>
      <c r="G142" s="10">
        <v>200579.01</v>
      </c>
      <c r="I142" s="30">
        <f t="shared" si="4"/>
        <v>-60000</v>
      </c>
      <c r="K142" s="24">
        <f>Administration!I148</f>
        <v>0</v>
      </c>
      <c r="L142" s="24">
        <f>Odense!I148</f>
        <v>0</v>
      </c>
      <c r="M142" s="24">
        <f>Laks!I148</f>
        <v>-20000</v>
      </c>
      <c r="N142" s="24">
        <f>Assens!I148</f>
        <v>-20000</v>
      </c>
      <c r="O142" s="24">
        <f>Nyborg!I148</f>
        <v>-20000</v>
      </c>
      <c r="P142" s="24">
        <f>Nordfyn!I148</f>
        <v>0</v>
      </c>
      <c r="Q142" s="24">
        <f>Kerteminde!I148</f>
        <v>0</v>
      </c>
      <c r="R142" s="24">
        <f>Særtilskud!I148</f>
        <v>0</v>
      </c>
    </row>
    <row r="143" spans="1:18" x14ac:dyDescent="0.25">
      <c r="A143" s="2" t="s">
        <v>244</v>
      </c>
      <c r="B143" s="2" t="s">
        <v>245</v>
      </c>
      <c r="C143" s="10">
        <v>-42226.84</v>
      </c>
      <c r="D143" s="10">
        <v>-168503</v>
      </c>
      <c r="E143">
        <v>-74.94</v>
      </c>
      <c r="F143">
        <v>25.06</v>
      </c>
      <c r="G143" s="10">
        <v>126276.16</v>
      </c>
      <c r="I143" s="30">
        <f t="shared" si="4"/>
        <v>-100000</v>
      </c>
      <c r="K143" s="24">
        <f>Administration!I149</f>
        <v>0</v>
      </c>
      <c r="L143" s="24">
        <f>Odense!I149</f>
        <v>-20000</v>
      </c>
      <c r="M143" s="24">
        <f>Laks!I149</f>
        <v>0</v>
      </c>
      <c r="N143" s="24">
        <f>Assens!I149</f>
        <v>-20000</v>
      </c>
      <c r="O143" s="24">
        <f>Nyborg!I149</f>
        <v>-20000</v>
      </c>
      <c r="P143" s="24">
        <f>Nordfyn!I149</f>
        <v>-20000</v>
      </c>
      <c r="Q143" s="24">
        <f>Kerteminde!I149</f>
        <v>-20000</v>
      </c>
      <c r="R143" s="24">
        <f>Særtilskud!I149</f>
        <v>0</v>
      </c>
    </row>
    <row r="144" spans="1:18" x14ac:dyDescent="0.25">
      <c r="A144" s="2" t="s">
        <v>246</v>
      </c>
      <c r="B144" s="2" t="s">
        <v>247</v>
      </c>
      <c r="C144" s="10">
        <v>-739177.64</v>
      </c>
      <c r="D144" s="10">
        <v>-2232987.9</v>
      </c>
      <c r="E144">
        <v>-66.900000000000006</v>
      </c>
      <c r="F144">
        <v>33.1</v>
      </c>
      <c r="G144" s="10">
        <v>1493810.26</v>
      </c>
      <c r="I144" s="30">
        <f t="shared" si="4"/>
        <v>-2770000</v>
      </c>
      <c r="K144" s="24">
        <f>Administration!I150</f>
        <v>-2770000</v>
      </c>
      <c r="L144" s="24">
        <f>Odense!I150</f>
        <v>0</v>
      </c>
      <c r="M144" s="24">
        <f>Laks!I150</f>
        <v>0</v>
      </c>
      <c r="N144" s="24">
        <f>Assens!I150</f>
        <v>0</v>
      </c>
      <c r="O144" s="24">
        <f>Nyborg!I150</f>
        <v>0</v>
      </c>
      <c r="P144" s="24">
        <f>Nordfyn!I150</f>
        <v>0</v>
      </c>
      <c r="Q144" s="24">
        <f>Kerteminde!I150</f>
        <v>0</v>
      </c>
      <c r="R144" s="24">
        <f>Særtilskud!I150</f>
        <v>0</v>
      </c>
    </row>
    <row r="145" spans="1:18" x14ac:dyDescent="0.25">
      <c r="A145" s="2" t="s">
        <v>248</v>
      </c>
      <c r="B145" s="2" t="s">
        <v>249</v>
      </c>
      <c r="C145" s="10">
        <v>-153884.04999999999</v>
      </c>
      <c r="D145" s="10">
        <v>-604950</v>
      </c>
      <c r="E145">
        <v>-74.56</v>
      </c>
      <c r="F145">
        <v>25.44</v>
      </c>
      <c r="G145" s="10">
        <v>451065.95</v>
      </c>
      <c r="I145" s="30">
        <f t="shared" si="4"/>
        <v>-600000</v>
      </c>
      <c r="K145" s="24">
        <f>Administration!I151</f>
        <v>0</v>
      </c>
      <c r="L145" s="24">
        <f>Odense!I151</f>
        <v>-100000</v>
      </c>
      <c r="M145" s="24">
        <f>Laks!I151</f>
        <v>-100000</v>
      </c>
      <c r="N145" s="24">
        <f>Assens!I151</f>
        <v>-100000</v>
      </c>
      <c r="O145" s="24">
        <f>Nyborg!I151</f>
        <v>-100000</v>
      </c>
      <c r="P145" s="24">
        <f>Nordfyn!I151</f>
        <v>-100000</v>
      </c>
      <c r="Q145" s="24">
        <f>Kerteminde!I151</f>
        <v>-100000</v>
      </c>
      <c r="R145" s="24">
        <f>Særtilskud!I151</f>
        <v>0</v>
      </c>
    </row>
    <row r="146" spans="1:18" x14ac:dyDescent="0.25">
      <c r="A146" s="2" t="s">
        <v>250</v>
      </c>
      <c r="B146" s="2" t="s">
        <v>251</v>
      </c>
      <c r="I146" s="30">
        <f t="shared" si="4"/>
        <v>0</v>
      </c>
      <c r="K146" s="24">
        <f>Administration!I152</f>
        <v>0</v>
      </c>
      <c r="L146" s="24">
        <f>Odense!I152</f>
        <v>0</v>
      </c>
      <c r="M146" s="24">
        <f>Laks!I152</f>
        <v>0</v>
      </c>
      <c r="N146" s="24">
        <f>Assens!I152</f>
        <v>0</v>
      </c>
      <c r="O146" s="24">
        <f>Nyborg!I152</f>
        <v>0</v>
      </c>
      <c r="P146" s="24">
        <f>Nordfyn!I152</f>
        <v>0</v>
      </c>
      <c r="Q146" s="24">
        <f>Kerteminde!I152</f>
        <v>0</v>
      </c>
      <c r="R146" s="24">
        <f>Særtilskud!I152</f>
        <v>0</v>
      </c>
    </row>
    <row r="147" spans="1:18" x14ac:dyDescent="0.25">
      <c r="A147" s="2" t="s">
        <v>252</v>
      </c>
      <c r="B147" s="2" t="s">
        <v>253</v>
      </c>
      <c r="C147" s="10">
        <v>-136570.07</v>
      </c>
      <c r="D147" s="10">
        <v>-101083.2</v>
      </c>
      <c r="E147">
        <v>35.11</v>
      </c>
      <c r="F147">
        <v>135.11000000000001</v>
      </c>
      <c r="G147" s="10">
        <v>-35486.870000000003</v>
      </c>
      <c r="I147" s="30">
        <f t="shared" si="4"/>
        <v>-56617.3</v>
      </c>
      <c r="K147" s="24">
        <f>Administration!I153</f>
        <v>0</v>
      </c>
      <c r="L147" s="24">
        <f>Odense!I153</f>
        <v>-10600</v>
      </c>
      <c r="M147" s="24">
        <f>Laks!I153</f>
        <v>0</v>
      </c>
      <c r="N147" s="24">
        <f>Assens!I153</f>
        <v>-1000</v>
      </c>
      <c r="O147" s="24">
        <f>Nyborg!I153</f>
        <v>-517.29999999999995</v>
      </c>
      <c r="P147" s="24">
        <f>Nordfyn!I153</f>
        <v>-500</v>
      </c>
      <c r="Q147" s="24">
        <f>Kerteminde!I153</f>
        <v>-44000</v>
      </c>
      <c r="R147" s="24">
        <f>Særtilskud!I153</f>
        <v>0</v>
      </c>
    </row>
    <row r="148" spans="1:18" x14ac:dyDescent="0.25">
      <c r="A148" s="2" t="s">
        <v>254</v>
      </c>
      <c r="B148" s="2" t="s">
        <v>255</v>
      </c>
      <c r="C148" s="10">
        <v>-100248.72</v>
      </c>
      <c r="D148" s="10">
        <v>-252250</v>
      </c>
      <c r="E148">
        <v>-60.26</v>
      </c>
      <c r="F148">
        <v>39.74</v>
      </c>
      <c r="G148" s="10">
        <v>152001.28</v>
      </c>
      <c r="I148" s="30">
        <f t="shared" si="4"/>
        <v>-215880</v>
      </c>
      <c r="K148" s="24">
        <f>Administration!I154</f>
        <v>-210000</v>
      </c>
      <c r="L148" s="24">
        <f>Odense!I154</f>
        <v>0</v>
      </c>
      <c r="M148" s="24">
        <f>Laks!I154</f>
        <v>-5880</v>
      </c>
      <c r="N148" s="24">
        <f>Assens!I154</f>
        <v>0</v>
      </c>
      <c r="O148" s="24">
        <f>Nyborg!I154</f>
        <v>0</v>
      </c>
      <c r="P148" s="24">
        <f>Nordfyn!I154</f>
        <v>0</v>
      </c>
      <c r="Q148" s="24">
        <f>Kerteminde!I154</f>
        <v>0</v>
      </c>
      <c r="R148" s="24">
        <f>Særtilskud!I154</f>
        <v>0</v>
      </c>
    </row>
    <row r="149" spans="1:18" x14ac:dyDescent="0.25">
      <c r="A149" s="2" t="s">
        <v>256</v>
      </c>
      <c r="B149" s="2" t="s">
        <v>257</v>
      </c>
      <c r="C149" s="10">
        <v>-14180</v>
      </c>
      <c r="D149" s="10">
        <v>-52388</v>
      </c>
      <c r="E149">
        <v>-72.930000000000007</v>
      </c>
      <c r="F149">
        <v>27.07</v>
      </c>
      <c r="G149" s="10">
        <v>38208</v>
      </c>
      <c r="H149" s="34">
        <v>5</v>
      </c>
      <c r="I149" s="30">
        <f t="shared" si="4"/>
        <v>-44000</v>
      </c>
      <c r="K149" s="24">
        <f>Administration!I155</f>
        <v>0</v>
      </c>
      <c r="L149" s="24">
        <f>Odense!I155</f>
        <v>-17050</v>
      </c>
      <c r="M149" s="24">
        <f>Laks!I155</f>
        <v>0</v>
      </c>
      <c r="N149" s="24">
        <f>Assens!I155</f>
        <v>-6600</v>
      </c>
      <c r="O149" s="24">
        <f>Nyborg!I155</f>
        <v>-4950</v>
      </c>
      <c r="P149" s="24">
        <f>Nordfyn!I155</f>
        <v>-8800</v>
      </c>
      <c r="Q149" s="24">
        <f>Kerteminde!I155</f>
        <v>-6600</v>
      </c>
      <c r="R149" s="24">
        <f>Særtilskud!I155</f>
        <v>0</v>
      </c>
    </row>
    <row r="150" spans="1:18" x14ac:dyDescent="0.25">
      <c r="A150" s="2" t="s">
        <v>258</v>
      </c>
      <c r="B150" s="2" t="s">
        <v>259</v>
      </c>
      <c r="C150" s="10">
        <v>-198068.61</v>
      </c>
      <c r="G150" s="10">
        <v>-198068.61</v>
      </c>
      <c r="I150" s="30">
        <f t="shared" si="4"/>
        <v>0</v>
      </c>
      <c r="K150" s="24">
        <f>Administration!I156</f>
        <v>0</v>
      </c>
      <c r="L150" s="24">
        <f>Odense!I156</f>
        <v>0</v>
      </c>
      <c r="M150" s="24">
        <f>Laks!I156</f>
        <v>0</v>
      </c>
      <c r="N150" s="24">
        <f>Assens!I156</f>
        <v>0</v>
      </c>
      <c r="O150" s="24">
        <f>Nyborg!I156</f>
        <v>0</v>
      </c>
      <c r="P150" s="24">
        <f>Nordfyn!I156</f>
        <v>0</v>
      </c>
      <c r="Q150" s="24">
        <f>Kerteminde!I156</f>
        <v>0</v>
      </c>
      <c r="R150" s="24">
        <f>Særtilskud!I156</f>
        <v>0</v>
      </c>
    </row>
    <row r="151" spans="1:18" x14ac:dyDescent="0.25">
      <c r="A151" s="2" t="s">
        <v>260</v>
      </c>
      <c r="B151" s="2" t="s">
        <v>261</v>
      </c>
      <c r="D151" s="10">
        <v>-480000</v>
      </c>
      <c r="E151">
        <v>-100</v>
      </c>
      <c r="G151" s="10">
        <v>480000</v>
      </c>
      <c r="I151" s="30">
        <f t="shared" si="4"/>
        <v>-360000</v>
      </c>
      <c r="K151" s="24">
        <f>Administration!I157</f>
        <v>-360000</v>
      </c>
      <c r="L151" s="24">
        <f>Odense!I157</f>
        <v>0</v>
      </c>
      <c r="M151" s="24">
        <f>Laks!I157</f>
        <v>0</v>
      </c>
      <c r="N151" s="24">
        <f>Assens!I157</f>
        <v>0</v>
      </c>
      <c r="O151" s="24">
        <f>Nyborg!I157</f>
        <v>0</v>
      </c>
      <c r="P151" s="24">
        <f>Nordfyn!I157</f>
        <v>0</v>
      </c>
      <c r="Q151" s="24">
        <f>Kerteminde!I157</f>
        <v>0</v>
      </c>
      <c r="R151" s="24">
        <f>Særtilskud!I157</f>
        <v>0</v>
      </c>
    </row>
    <row r="152" spans="1:18" x14ac:dyDescent="0.25">
      <c r="A152" s="2" t="s">
        <v>262</v>
      </c>
      <c r="B152" s="2" t="s">
        <v>263</v>
      </c>
      <c r="C152" s="10">
        <v>-73317.56</v>
      </c>
      <c r="D152" s="10">
        <v>-707388.89</v>
      </c>
      <c r="E152">
        <v>-89.64</v>
      </c>
      <c r="F152">
        <v>10.36</v>
      </c>
      <c r="G152" s="10">
        <v>634071.32999999996</v>
      </c>
      <c r="I152" s="30">
        <f t="shared" si="4"/>
        <v>0</v>
      </c>
      <c r="K152" s="24">
        <f>Administration!I158</f>
        <v>0</v>
      </c>
      <c r="L152" s="24">
        <f>Odense!I158</f>
        <v>0</v>
      </c>
      <c r="M152" s="24">
        <f>Laks!I158</f>
        <v>0</v>
      </c>
      <c r="N152" s="24">
        <f>Assens!I158</f>
        <v>0</v>
      </c>
      <c r="O152" s="24">
        <f>Nyborg!I158</f>
        <v>0</v>
      </c>
      <c r="P152" s="24">
        <f>Nordfyn!I158</f>
        <v>0</v>
      </c>
      <c r="Q152" s="24">
        <f>Kerteminde!I158</f>
        <v>0</v>
      </c>
      <c r="R152" s="24">
        <f>Særtilskud!I158</f>
        <v>0</v>
      </c>
    </row>
    <row r="153" spans="1:18" x14ac:dyDescent="0.25">
      <c r="A153" s="2" t="s">
        <v>264</v>
      </c>
      <c r="B153" s="2" t="s">
        <v>265</v>
      </c>
      <c r="H153" s="34">
        <v>8</v>
      </c>
      <c r="I153" s="30">
        <f t="shared" si="4"/>
        <v>-20000</v>
      </c>
      <c r="K153" s="24">
        <f>Administration!I159</f>
        <v>-20000</v>
      </c>
      <c r="L153" s="24">
        <f>Odense!I159</f>
        <v>0</v>
      </c>
      <c r="M153" s="24">
        <f>Laks!I159</f>
        <v>0</v>
      </c>
      <c r="N153" s="24">
        <f>Assens!I159</f>
        <v>0</v>
      </c>
      <c r="O153" s="24">
        <f>Nyborg!I159</f>
        <v>0</v>
      </c>
      <c r="P153" s="24">
        <f>Nordfyn!I159</f>
        <v>0</v>
      </c>
      <c r="Q153" s="24">
        <f>Kerteminde!I159</f>
        <v>0</v>
      </c>
      <c r="R153" s="24">
        <f>Særtilskud!I159</f>
        <v>0</v>
      </c>
    </row>
    <row r="154" spans="1:18" x14ac:dyDescent="0.25">
      <c r="A154" s="2" t="s">
        <v>266</v>
      </c>
      <c r="B154" s="2" t="s">
        <v>267</v>
      </c>
      <c r="I154" s="30">
        <f t="shared" si="4"/>
        <v>0</v>
      </c>
      <c r="K154" s="24">
        <f>Administration!I160</f>
        <v>0</v>
      </c>
      <c r="L154" s="24">
        <f>Odense!I160</f>
        <v>0</v>
      </c>
      <c r="M154" s="24">
        <f>Laks!I160</f>
        <v>0</v>
      </c>
      <c r="N154" s="24">
        <f>Assens!I160</f>
        <v>0</v>
      </c>
      <c r="O154" s="24">
        <f>Nyborg!I160</f>
        <v>0</v>
      </c>
      <c r="P154" s="24">
        <f>Nordfyn!I160</f>
        <v>0</v>
      </c>
      <c r="Q154" s="24">
        <f>Kerteminde!I160</f>
        <v>0</v>
      </c>
      <c r="R154" s="24">
        <f>Særtilskud!I160</f>
        <v>0</v>
      </c>
    </row>
    <row r="155" spans="1:18" x14ac:dyDescent="0.25">
      <c r="A155" s="2" t="s">
        <v>268</v>
      </c>
      <c r="B155" s="2" t="s">
        <v>269</v>
      </c>
      <c r="C155" s="10">
        <v>-951767.22</v>
      </c>
      <c r="D155" s="10">
        <v>-2113819.5</v>
      </c>
      <c r="E155">
        <v>-54.97</v>
      </c>
      <c r="F155">
        <v>45.03</v>
      </c>
      <c r="G155" s="10">
        <v>1162052.28</v>
      </c>
      <c r="I155" s="30">
        <f t="shared" si="4"/>
        <v>-3044258.75</v>
      </c>
      <c r="K155" s="24">
        <f>Administration!I161</f>
        <v>0</v>
      </c>
      <c r="L155" s="24">
        <f>Odense!I161</f>
        <v>-731250</v>
      </c>
      <c r="M155" s="24">
        <f>Laks!I161</f>
        <v>-1000000</v>
      </c>
      <c r="N155" s="24">
        <f>Assens!I161</f>
        <v>-304687.5</v>
      </c>
      <c r="O155" s="24">
        <f>Nyborg!I161</f>
        <v>-344321.25</v>
      </c>
      <c r="P155" s="24">
        <f>Nordfyn!I161</f>
        <v>-264000</v>
      </c>
      <c r="Q155" s="24">
        <f>Kerteminde!I161</f>
        <v>-400000</v>
      </c>
      <c r="R155" s="24">
        <f>Særtilskud!I161</f>
        <v>0</v>
      </c>
    </row>
    <row r="156" spans="1:18" x14ac:dyDescent="0.25">
      <c r="A156" s="2" t="s">
        <v>270</v>
      </c>
      <c r="B156" s="2" t="s">
        <v>271</v>
      </c>
      <c r="C156" s="10">
        <v>-331277.94</v>
      </c>
      <c r="D156" s="10">
        <v>-1245448</v>
      </c>
      <c r="E156">
        <v>-73.400000000000006</v>
      </c>
      <c r="F156">
        <v>26.6</v>
      </c>
      <c r="G156" s="10">
        <v>914170.06</v>
      </c>
      <c r="I156" s="30">
        <f t="shared" si="4"/>
        <v>-1812933</v>
      </c>
      <c r="K156" s="24">
        <f>Administration!I162</f>
        <v>0</v>
      </c>
      <c r="L156" s="24">
        <f>Odense!I162</f>
        <v>-843750</v>
      </c>
      <c r="M156" s="24">
        <f>Laks!I162</f>
        <v>-12108</v>
      </c>
      <c r="N156" s="24">
        <f>Assens!I162</f>
        <v>-234375</v>
      </c>
      <c r="O156" s="24">
        <f>Nyborg!I162</f>
        <v>-302700</v>
      </c>
      <c r="P156" s="24">
        <f>Nordfyn!I162</f>
        <v>-150000</v>
      </c>
      <c r="Q156" s="24">
        <f>Kerteminde!I162</f>
        <v>-270000</v>
      </c>
      <c r="R156" s="24">
        <f>Særtilskud!I162</f>
        <v>0</v>
      </c>
    </row>
    <row r="157" spans="1:18" x14ac:dyDescent="0.25">
      <c r="A157" s="2" t="s">
        <v>272</v>
      </c>
      <c r="B157" s="2" t="s">
        <v>273</v>
      </c>
      <c r="C157" s="10">
        <v>-124042.25</v>
      </c>
      <c r="D157" s="10">
        <v>-478092</v>
      </c>
      <c r="E157">
        <v>-74.05</v>
      </c>
      <c r="F157">
        <v>25.95</v>
      </c>
      <c r="G157" s="10">
        <v>354049.75</v>
      </c>
      <c r="I157" s="30">
        <f t="shared" si="4"/>
        <v>-442465</v>
      </c>
      <c r="K157" s="24">
        <f>Administration!I163</f>
        <v>0</v>
      </c>
      <c r="L157" s="24">
        <f>Odense!I163</f>
        <v>-125000</v>
      </c>
      <c r="M157" s="24">
        <f>Laks!I163</f>
        <v>-201800</v>
      </c>
      <c r="N157" s="24">
        <f>Assens!I163</f>
        <v>-62500</v>
      </c>
      <c r="O157" s="24">
        <f>Nyborg!I163</f>
        <v>-30270</v>
      </c>
      <c r="P157" s="24">
        <f>Nordfyn!I163</f>
        <v>-12295</v>
      </c>
      <c r="Q157" s="24">
        <f>Kerteminde!I163</f>
        <v>-10600</v>
      </c>
      <c r="R157" s="24">
        <f>Særtilskud!I163</f>
        <v>0</v>
      </c>
    </row>
    <row r="158" spans="1:18" x14ac:dyDescent="0.25">
      <c r="A158" s="2" t="s">
        <v>274</v>
      </c>
      <c r="B158" s="2" t="s">
        <v>275</v>
      </c>
      <c r="C158" s="10">
        <v>-45317.97</v>
      </c>
      <c r="D158" s="10">
        <v>-91526.5</v>
      </c>
      <c r="E158">
        <v>-50.49</v>
      </c>
      <c r="F158">
        <v>49.51</v>
      </c>
      <c r="G158" s="10">
        <v>46208.53</v>
      </c>
      <c r="I158" s="30">
        <f t="shared" si="4"/>
        <v>-76725</v>
      </c>
      <c r="K158" s="24">
        <f>Administration!I164</f>
        <v>0</v>
      </c>
      <c r="L158" s="24">
        <f>Odense!I164</f>
        <v>-20000</v>
      </c>
      <c r="M158" s="24">
        <f>Laks!I164</f>
        <v>0</v>
      </c>
      <c r="N158" s="24">
        <f>Assens!I164</f>
        <v>-12500</v>
      </c>
      <c r="O158" s="24">
        <f>Nyborg!I164</f>
        <v>-25225</v>
      </c>
      <c r="P158" s="24">
        <f>Nordfyn!I164</f>
        <v>-16000</v>
      </c>
      <c r="Q158" s="24">
        <f>Kerteminde!I164</f>
        <v>-3000</v>
      </c>
      <c r="R158" s="24">
        <f>Særtilskud!I164</f>
        <v>0</v>
      </c>
    </row>
    <row r="159" spans="1:18" x14ac:dyDescent="0.25">
      <c r="A159" s="2" t="s">
        <v>276</v>
      </c>
      <c r="B159" s="2" t="s">
        <v>277</v>
      </c>
      <c r="C159" s="10">
        <v>-16413.560000000001</v>
      </c>
      <c r="D159" s="10">
        <v>-71896</v>
      </c>
      <c r="E159">
        <v>-77.17</v>
      </c>
      <c r="F159">
        <v>22.83</v>
      </c>
      <c r="G159" s="10">
        <v>55482.44</v>
      </c>
      <c r="I159" s="30">
        <f t="shared" si="4"/>
        <v>-42545</v>
      </c>
      <c r="K159" s="24">
        <f>Administration!I165</f>
        <v>0</v>
      </c>
      <c r="L159" s="24">
        <f>Odense!I165</f>
        <v>-15000</v>
      </c>
      <c r="M159" s="24">
        <f>Laks!I165</f>
        <v>-5045</v>
      </c>
      <c r="N159" s="24">
        <f>Assens!I165</f>
        <v>-12500</v>
      </c>
      <c r="O159" s="24">
        <f>Nyborg!I165</f>
        <v>0</v>
      </c>
      <c r="P159" s="24">
        <f>Nordfyn!I165</f>
        <v>0</v>
      </c>
      <c r="Q159" s="24">
        <f>Kerteminde!I165</f>
        <v>-10000</v>
      </c>
      <c r="R159" s="24">
        <f>Særtilskud!I165</f>
        <v>0</v>
      </c>
    </row>
    <row r="160" spans="1:18" x14ac:dyDescent="0.25">
      <c r="A160" s="2" t="s">
        <v>278</v>
      </c>
      <c r="B160" s="2" t="s">
        <v>279</v>
      </c>
      <c r="C160" s="10">
        <v>123069.87</v>
      </c>
      <c r="D160" s="10">
        <v>392887.99</v>
      </c>
      <c r="E160">
        <v>-68.680000000000007</v>
      </c>
      <c r="F160">
        <v>31.32</v>
      </c>
      <c r="G160" s="10">
        <v>-269818.12</v>
      </c>
      <c r="I160" s="30">
        <f t="shared" si="4"/>
        <v>392887.99</v>
      </c>
      <c r="K160" s="24">
        <f>Administration!I166</f>
        <v>0</v>
      </c>
      <c r="L160" s="24">
        <f>Odense!I166</f>
        <v>0</v>
      </c>
      <c r="M160" s="24">
        <f>Laks!I166</f>
        <v>392887.99</v>
      </c>
      <c r="N160" s="24">
        <f>Assens!I166</f>
        <v>0</v>
      </c>
      <c r="O160" s="24">
        <f>Nyborg!I166</f>
        <v>0</v>
      </c>
      <c r="P160" s="24">
        <f>Nordfyn!I166</f>
        <v>0</v>
      </c>
      <c r="Q160" s="24">
        <f>Kerteminde!I166</f>
        <v>0</v>
      </c>
      <c r="R160" s="24">
        <f>Særtilskud!I166</f>
        <v>0</v>
      </c>
    </row>
    <row r="161" spans="1:18" x14ac:dyDescent="0.25">
      <c r="A161" s="2" t="s">
        <v>280</v>
      </c>
      <c r="B161" s="2" t="s">
        <v>281</v>
      </c>
      <c r="C161" s="10">
        <v>-293855.06</v>
      </c>
      <c r="D161" s="10">
        <v>-504500</v>
      </c>
      <c r="E161">
        <v>-41.75</v>
      </c>
      <c r="F161">
        <v>58.25</v>
      </c>
      <c r="G161" s="10">
        <v>210644.94</v>
      </c>
      <c r="I161" s="30">
        <f t="shared" si="4"/>
        <v>-831566.46</v>
      </c>
      <c r="K161" s="24">
        <f>Administration!I167</f>
        <v>-750000</v>
      </c>
      <c r="L161" s="24">
        <f>Odense!I167</f>
        <v>0</v>
      </c>
      <c r="M161" s="24">
        <f>Laks!I167</f>
        <v>-10978.98</v>
      </c>
      <c r="N161" s="24">
        <f>Assens!I167</f>
        <v>-13076</v>
      </c>
      <c r="O161" s="24">
        <f>Nyborg!I167</f>
        <v>-7511.48</v>
      </c>
      <c r="P161" s="24">
        <f>Nordfyn!I167</f>
        <v>-40000</v>
      </c>
      <c r="Q161" s="24">
        <f>Kerteminde!I167</f>
        <v>-10000</v>
      </c>
      <c r="R161" s="24">
        <f>Særtilskud!I167</f>
        <v>0</v>
      </c>
    </row>
    <row r="162" spans="1:18" x14ac:dyDescent="0.25">
      <c r="A162" s="2" t="s">
        <v>282</v>
      </c>
      <c r="B162" s="2" t="s">
        <v>283</v>
      </c>
      <c r="C162" s="10">
        <v>-754578.71</v>
      </c>
      <c r="D162" s="10">
        <v>-2724300</v>
      </c>
      <c r="E162">
        <v>-72.3</v>
      </c>
      <c r="F162">
        <v>27.7</v>
      </c>
      <c r="G162" s="10">
        <v>1969721.29</v>
      </c>
      <c r="I162" s="30">
        <f t="shared" si="4"/>
        <v>-2081143.56</v>
      </c>
      <c r="K162" s="24">
        <f>Administration!I168</f>
        <v>-2000000</v>
      </c>
      <c r="L162" s="24">
        <f>Odense!I168</f>
        <v>0</v>
      </c>
      <c r="M162" s="24">
        <f>Laks!I168</f>
        <v>-2925</v>
      </c>
      <c r="N162" s="24">
        <f>Assens!I168</f>
        <v>-12783.9</v>
      </c>
      <c r="O162" s="24">
        <f>Nyborg!I168</f>
        <v>-18050.86</v>
      </c>
      <c r="P162" s="24">
        <f>Nordfyn!I168</f>
        <v>-28000</v>
      </c>
      <c r="Q162" s="24">
        <f>Kerteminde!I168</f>
        <v>-19383.8</v>
      </c>
      <c r="R162" s="24">
        <f>Særtilskud!I168</f>
        <v>0</v>
      </c>
    </row>
    <row r="163" spans="1:18" x14ac:dyDescent="0.25">
      <c r="A163" s="2" t="s">
        <v>284</v>
      </c>
      <c r="B163" s="2" t="s">
        <v>285</v>
      </c>
      <c r="C163" s="10">
        <v>-53405.25</v>
      </c>
      <c r="D163" s="10">
        <v>-353150</v>
      </c>
      <c r="E163">
        <v>-84.88</v>
      </c>
      <c r="F163">
        <v>15.12</v>
      </c>
      <c r="G163" s="10">
        <v>299744.75</v>
      </c>
      <c r="I163" s="30">
        <f t="shared" si="4"/>
        <v>-350000</v>
      </c>
      <c r="K163" s="24">
        <f>Administration!I169</f>
        <v>-350000</v>
      </c>
      <c r="L163" s="24">
        <f>Odense!I169</f>
        <v>0</v>
      </c>
      <c r="M163" s="24">
        <f>Laks!I169</f>
        <v>0</v>
      </c>
      <c r="N163" s="24">
        <f>Assens!I169</f>
        <v>0</v>
      </c>
      <c r="O163" s="24">
        <f>Nyborg!I169</f>
        <v>0</v>
      </c>
      <c r="P163" s="24">
        <f>Nordfyn!I169</f>
        <v>0</v>
      </c>
      <c r="Q163" s="24">
        <f>Kerteminde!I169</f>
        <v>0</v>
      </c>
      <c r="R163" s="24">
        <f>Særtilskud!I169</f>
        <v>0</v>
      </c>
    </row>
    <row r="164" spans="1:18" x14ac:dyDescent="0.25">
      <c r="A164" s="2" t="s">
        <v>286</v>
      </c>
      <c r="B164" s="2" t="s">
        <v>287</v>
      </c>
      <c r="C164" s="10">
        <v>-20000</v>
      </c>
      <c r="D164" s="10">
        <v>-100900</v>
      </c>
      <c r="E164">
        <v>-80.180000000000007</v>
      </c>
      <c r="F164">
        <v>19.82</v>
      </c>
      <c r="G164" s="10">
        <v>80900</v>
      </c>
      <c r="I164" s="30">
        <f t="shared" si="4"/>
        <v>-100000</v>
      </c>
      <c r="K164" s="24">
        <f>Administration!I170</f>
        <v>-100000</v>
      </c>
      <c r="L164" s="24">
        <f>Odense!I170</f>
        <v>0</v>
      </c>
      <c r="M164" s="24">
        <f>Laks!I170</f>
        <v>0</v>
      </c>
      <c r="N164" s="24">
        <f>Assens!I170</f>
        <v>0</v>
      </c>
      <c r="O164" s="24">
        <f>Nyborg!I170</f>
        <v>0</v>
      </c>
      <c r="P164" s="24">
        <f>Nordfyn!I170</f>
        <v>0</v>
      </c>
      <c r="Q164" s="24">
        <f>Kerteminde!I170</f>
        <v>0</v>
      </c>
      <c r="R164" s="24">
        <f>Særtilskud!I170</f>
        <v>0</v>
      </c>
    </row>
    <row r="165" spans="1:18" x14ac:dyDescent="0.25">
      <c r="A165" s="2" t="s">
        <v>288</v>
      </c>
      <c r="B165" s="2" t="s">
        <v>289</v>
      </c>
      <c r="C165" s="10">
        <v>-138749.9</v>
      </c>
      <c r="D165" s="10">
        <v>-783204.24</v>
      </c>
      <c r="E165">
        <v>-82.28</v>
      </c>
      <c r="F165">
        <v>17.72</v>
      </c>
      <c r="G165" s="10">
        <v>644454.34</v>
      </c>
      <c r="I165" s="30">
        <f t="shared" si="4"/>
        <v>-402112.4</v>
      </c>
      <c r="K165" s="24">
        <f>Administration!I171</f>
        <v>-401100</v>
      </c>
      <c r="L165" s="24">
        <f>Odense!I171</f>
        <v>0</v>
      </c>
      <c r="M165" s="24">
        <f>Laks!I171</f>
        <v>-1012.4</v>
      </c>
      <c r="N165" s="24">
        <f>Assens!I171</f>
        <v>0</v>
      </c>
      <c r="O165" s="24">
        <f>Nyborg!I171</f>
        <v>0</v>
      </c>
      <c r="P165" s="24">
        <f>Nordfyn!I171</f>
        <v>0</v>
      </c>
      <c r="Q165" s="24">
        <f>Kerteminde!I171</f>
        <v>0</v>
      </c>
      <c r="R165" s="24">
        <f>Særtilskud!I171</f>
        <v>0</v>
      </c>
    </row>
    <row r="166" spans="1:18" x14ac:dyDescent="0.25">
      <c r="A166" s="2" t="s">
        <v>290</v>
      </c>
      <c r="B166" s="2" t="s">
        <v>291</v>
      </c>
      <c r="C166" s="10">
        <v>-20592</v>
      </c>
      <c r="D166" s="10">
        <v>-72549</v>
      </c>
      <c r="E166">
        <v>-71.62</v>
      </c>
      <c r="F166">
        <v>28.38</v>
      </c>
      <c r="G166" s="10">
        <v>51957</v>
      </c>
      <c r="I166" s="30">
        <f t="shared" si="4"/>
        <v>-62500</v>
      </c>
      <c r="K166" s="24">
        <f>Administration!I172</f>
        <v>-50000</v>
      </c>
      <c r="L166" s="24">
        <f>Odense!I172</f>
        <v>-2500</v>
      </c>
      <c r="M166" s="24">
        <f>Laks!I172</f>
        <v>0</v>
      </c>
      <c r="N166" s="24">
        <f>Assens!I172</f>
        <v>-2500</v>
      </c>
      <c r="O166" s="24">
        <f>Nyborg!I172</f>
        <v>-2500</v>
      </c>
      <c r="P166" s="24">
        <f>Nordfyn!I172</f>
        <v>-2500</v>
      </c>
      <c r="Q166" s="24">
        <f>Kerteminde!I172</f>
        <v>-2500</v>
      </c>
      <c r="R166" s="24">
        <f>Særtilskud!I172</f>
        <v>0</v>
      </c>
    </row>
    <row r="167" spans="1:18" x14ac:dyDescent="0.25">
      <c r="A167" s="2" t="s">
        <v>292</v>
      </c>
      <c r="B167" s="2" t="s">
        <v>293</v>
      </c>
      <c r="C167" s="10">
        <v>-35409.99</v>
      </c>
      <c r="D167" s="10">
        <v>-165476</v>
      </c>
      <c r="E167">
        <v>-78.599999999999994</v>
      </c>
      <c r="F167">
        <v>21.4</v>
      </c>
      <c r="G167" s="10">
        <v>130066.01</v>
      </c>
      <c r="I167" s="30">
        <f t="shared" si="4"/>
        <v>-127836</v>
      </c>
      <c r="K167" s="24">
        <f>Administration!I173</f>
        <v>-44000</v>
      </c>
      <c r="L167" s="24">
        <f>Odense!I173</f>
        <v>-30000</v>
      </c>
      <c r="M167" s="24">
        <f>Laks!I173</f>
        <v>-4036</v>
      </c>
      <c r="N167" s="24">
        <f>Assens!I173</f>
        <v>-13000</v>
      </c>
      <c r="O167" s="24">
        <f>Nyborg!I173</f>
        <v>-17000</v>
      </c>
      <c r="P167" s="24">
        <f>Nordfyn!I173</f>
        <v>-17000</v>
      </c>
      <c r="Q167" s="24">
        <f>Kerteminde!I173</f>
        <v>-2800</v>
      </c>
      <c r="R167" s="24">
        <f>Særtilskud!I173</f>
        <v>0</v>
      </c>
    </row>
    <row r="168" spans="1:18" x14ac:dyDescent="0.25">
      <c r="A168" s="2" t="s">
        <v>294</v>
      </c>
      <c r="B168" s="2" t="s">
        <v>295</v>
      </c>
      <c r="C168" s="10">
        <v>-288795.40000000002</v>
      </c>
      <c r="D168" s="10">
        <v>-227025</v>
      </c>
      <c r="E168">
        <v>27.21</v>
      </c>
      <c r="F168">
        <v>127.21</v>
      </c>
      <c r="G168" s="10">
        <v>-61770.400000000001</v>
      </c>
      <c r="I168" s="30">
        <f t="shared" si="4"/>
        <v>-230000</v>
      </c>
      <c r="K168" s="24">
        <f>Administration!I174</f>
        <v>-200000</v>
      </c>
      <c r="L168" s="24">
        <f>Odense!I174</f>
        <v>0</v>
      </c>
      <c r="M168" s="24">
        <f>Laks!I174</f>
        <v>-30000</v>
      </c>
      <c r="N168" s="24">
        <f>Assens!I174</f>
        <v>0</v>
      </c>
      <c r="O168" s="24">
        <f>Nyborg!I174</f>
        <v>0</v>
      </c>
      <c r="P168" s="24">
        <f>Nordfyn!I174</f>
        <v>0</v>
      </c>
      <c r="Q168" s="24">
        <f>Kerteminde!I174</f>
        <v>0</v>
      </c>
      <c r="R168" s="24">
        <f>Særtilskud!I174</f>
        <v>0</v>
      </c>
    </row>
    <row r="169" spans="1:18" x14ac:dyDescent="0.25">
      <c r="A169" s="2" t="s">
        <v>296</v>
      </c>
      <c r="B169" s="2" t="s">
        <v>297</v>
      </c>
      <c r="C169" s="10">
        <v>-36303.24</v>
      </c>
      <c r="D169" s="10">
        <v>-62705.8</v>
      </c>
      <c r="E169">
        <v>-42.11</v>
      </c>
      <c r="F169">
        <v>57.89</v>
      </c>
      <c r="G169" s="10">
        <v>26402.560000000001</v>
      </c>
      <c r="I169" s="30">
        <f t="shared" si="4"/>
        <v>-62950</v>
      </c>
      <c r="K169" s="24">
        <f>Administration!I175</f>
        <v>-50450</v>
      </c>
      <c r="L169" s="24">
        <f>Odense!I175</f>
        <v>-2500</v>
      </c>
      <c r="M169" s="24">
        <f>Laks!I175</f>
        <v>0</v>
      </c>
      <c r="N169" s="24">
        <f>Assens!I175</f>
        <v>-2500</v>
      </c>
      <c r="O169" s="24">
        <f>Nyborg!I175</f>
        <v>-2500</v>
      </c>
      <c r="P169" s="24">
        <f>Nordfyn!I175</f>
        <v>-2500</v>
      </c>
      <c r="Q169" s="24">
        <f>Kerteminde!I175</f>
        <v>-2500</v>
      </c>
      <c r="R169" s="24">
        <f>Særtilskud!I175</f>
        <v>0</v>
      </c>
    </row>
    <row r="170" spans="1:18" x14ac:dyDescent="0.25">
      <c r="A170" s="2" t="s">
        <v>298</v>
      </c>
      <c r="B170" s="2" t="s">
        <v>299</v>
      </c>
      <c r="C170" s="10">
        <v>-851030.04</v>
      </c>
      <c r="D170" s="10">
        <v>-1361210</v>
      </c>
      <c r="E170">
        <v>-37.479999999999997</v>
      </c>
      <c r="F170">
        <v>62.52</v>
      </c>
      <c r="G170" s="10">
        <v>510179.96</v>
      </c>
      <c r="I170" s="30">
        <f t="shared" si="4"/>
        <v>-1611969.8</v>
      </c>
      <c r="K170" s="24">
        <f>Administration!I176</f>
        <v>0</v>
      </c>
      <c r="L170" s="24">
        <f>Odense!I176</f>
        <v>-511675</v>
      </c>
      <c r="M170" s="24">
        <f>Laks!I176</f>
        <v>-4364.8</v>
      </c>
      <c r="N170" s="24">
        <f>Assens!I176</f>
        <v>-246550</v>
      </c>
      <c r="O170" s="24">
        <f>Nyborg!I176</f>
        <v>-270380</v>
      </c>
      <c r="P170" s="24">
        <f>Nordfyn!I176</f>
        <v>-384000</v>
      </c>
      <c r="Q170" s="24">
        <f>Kerteminde!I176</f>
        <v>-195000</v>
      </c>
      <c r="R170" s="24">
        <f>Særtilskud!I176</f>
        <v>0</v>
      </c>
    </row>
    <row r="171" spans="1:18" x14ac:dyDescent="0.25">
      <c r="A171" s="2" t="s">
        <v>300</v>
      </c>
      <c r="B171" s="2" t="s">
        <v>301</v>
      </c>
      <c r="C171" s="10">
        <v>-405733.63</v>
      </c>
      <c r="D171" s="10">
        <v>-457238.65</v>
      </c>
      <c r="E171">
        <v>-11.26</v>
      </c>
      <c r="F171">
        <v>88.74</v>
      </c>
      <c r="G171" s="10">
        <v>51505.02</v>
      </c>
      <c r="I171" s="30">
        <f t="shared" si="4"/>
        <v>-666620</v>
      </c>
      <c r="K171" s="24">
        <f>Administration!I177</f>
        <v>-543485</v>
      </c>
      <c r="L171" s="24">
        <f>Odense!I177</f>
        <v>-15135</v>
      </c>
      <c r="M171" s="24">
        <f>Laks!I177</f>
        <v>-20000</v>
      </c>
      <c r="N171" s="24">
        <f>Assens!I177</f>
        <v>-75000</v>
      </c>
      <c r="O171" s="24">
        <f>Nyborg!I177</f>
        <v>-4000</v>
      </c>
      <c r="P171" s="24">
        <f>Nordfyn!I177</f>
        <v>0</v>
      </c>
      <c r="Q171" s="24">
        <f>Kerteminde!I177</f>
        <v>-9000</v>
      </c>
      <c r="R171" s="24">
        <f>Særtilskud!I177</f>
        <v>0</v>
      </c>
    </row>
    <row r="172" spans="1:18" x14ac:dyDescent="0.25">
      <c r="A172" s="2" t="s">
        <v>302</v>
      </c>
      <c r="B172" s="2" t="s">
        <v>303</v>
      </c>
      <c r="C172" s="10">
        <v>-32815.49</v>
      </c>
      <c r="D172" s="10">
        <v>-71594</v>
      </c>
      <c r="E172">
        <v>-54.16</v>
      </c>
      <c r="F172">
        <v>45.84</v>
      </c>
      <c r="G172" s="10">
        <v>38778.51</v>
      </c>
      <c r="H172" s="34">
        <v>7</v>
      </c>
      <c r="I172" s="30">
        <f t="shared" si="4"/>
        <v>-53009</v>
      </c>
      <c r="K172" s="24">
        <f>Administration!I178</f>
        <v>-30000</v>
      </c>
      <c r="L172" s="24">
        <f>Odense!I178</f>
        <v>-8525</v>
      </c>
      <c r="M172" s="24">
        <f>Laks!I178</f>
        <v>-1009</v>
      </c>
      <c r="N172" s="24">
        <f>Assens!I178</f>
        <v>-3300</v>
      </c>
      <c r="O172" s="24">
        <f>Nyborg!I178</f>
        <v>-2475</v>
      </c>
      <c r="P172" s="24">
        <f>Nordfyn!I178</f>
        <v>-4400</v>
      </c>
      <c r="Q172" s="24">
        <f>Kerteminde!I178</f>
        <v>-3300</v>
      </c>
      <c r="R172" s="24">
        <f>Særtilskud!I178</f>
        <v>0</v>
      </c>
    </row>
    <row r="173" spans="1:18" x14ac:dyDescent="0.25">
      <c r="A173" s="2" t="s">
        <v>304</v>
      </c>
      <c r="B173" s="2" t="s">
        <v>305</v>
      </c>
      <c r="D173" s="10">
        <v>-50450</v>
      </c>
      <c r="E173">
        <v>-100</v>
      </c>
      <c r="G173" s="10">
        <v>50450</v>
      </c>
      <c r="I173" s="30">
        <f t="shared" si="4"/>
        <v>0</v>
      </c>
      <c r="K173" s="24">
        <f>Administration!I179</f>
        <v>0</v>
      </c>
      <c r="L173" s="24">
        <f>Odense!I179</f>
        <v>0</v>
      </c>
      <c r="M173" s="24">
        <f>Laks!I179</f>
        <v>0</v>
      </c>
      <c r="N173" s="24">
        <f>Assens!I179</f>
        <v>0</v>
      </c>
      <c r="O173" s="24">
        <f>Nyborg!I179</f>
        <v>0</v>
      </c>
      <c r="P173" s="24">
        <f>Nordfyn!I179</f>
        <v>0</v>
      </c>
      <c r="Q173" s="24">
        <f>Kerteminde!I179</f>
        <v>0</v>
      </c>
      <c r="R173" s="24">
        <f>Særtilskud!I179</f>
        <v>0</v>
      </c>
    </row>
    <row r="174" spans="1:18" x14ac:dyDescent="0.25">
      <c r="A174" s="2" t="s">
        <v>306</v>
      </c>
      <c r="B174" s="2" t="s">
        <v>307</v>
      </c>
      <c r="C174" s="10">
        <v>-49309.59</v>
      </c>
      <c r="D174" s="10">
        <v>-557437</v>
      </c>
      <c r="E174">
        <v>-91.15</v>
      </c>
      <c r="F174">
        <v>8.85</v>
      </c>
      <c r="G174" s="10">
        <v>508127.41</v>
      </c>
      <c r="I174" s="30">
        <f t="shared" si="4"/>
        <v>-545780</v>
      </c>
      <c r="K174" s="24">
        <f>Administration!I180</f>
        <v>0</v>
      </c>
      <c r="L174" s="24">
        <f>Odense!I180</f>
        <v>-201800</v>
      </c>
      <c r="M174" s="24">
        <f>Laks!I180</f>
        <v>-20180</v>
      </c>
      <c r="N174" s="24">
        <f>Assens!I180</f>
        <v>-60000</v>
      </c>
      <c r="O174" s="24">
        <f>Nyborg!I180</f>
        <v>-201800</v>
      </c>
      <c r="P174" s="24">
        <f>Nordfyn!I180</f>
        <v>-22000</v>
      </c>
      <c r="Q174" s="24">
        <f>Kerteminde!I180</f>
        <v>-40000</v>
      </c>
      <c r="R174" s="24">
        <f>Særtilskud!I180</f>
        <v>0</v>
      </c>
    </row>
    <row r="175" spans="1:18" x14ac:dyDescent="0.25">
      <c r="A175" s="2" t="s">
        <v>308</v>
      </c>
      <c r="B175" s="2" t="s">
        <v>309</v>
      </c>
      <c r="C175" s="10">
        <v>-293256.82</v>
      </c>
      <c r="D175" s="10">
        <v>-1054671.22</v>
      </c>
      <c r="E175">
        <v>-72.19</v>
      </c>
      <c r="F175">
        <v>27.81</v>
      </c>
      <c r="G175" s="10">
        <v>761414.4</v>
      </c>
      <c r="I175" s="30">
        <f t="shared" si="4"/>
        <v>-463821.22</v>
      </c>
      <c r="K175" s="24">
        <f>Administration!I181</f>
        <v>-50000</v>
      </c>
      <c r="L175" s="24">
        <f>Odense!I181</f>
        <v>-171796.22</v>
      </c>
      <c r="M175" s="24">
        <f>Laks!I181</f>
        <v>-171530</v>
      </c>
      <c r="N175" s="24">
        <f>Assens!I181</f>
        <v>-20180</v>
      </c>
      <c r="O175" s="24">
        <f>Nyborg!I181</f>
        <v>-20180</v>
      </c>
      <c r="P175" s="24">
        <f>Nordfyn!I181</f>
        <v>-15000</v>
      </c>
      <c r="Q175" s="24">
        <f>Kerteminde!I181</f>
        <v>-15135</v>
      </c>
      <c r="R175" s="24">
        <f>Særtilskud!I181</f>
        <v>0</v>
      </c>
    </row>
    <row r="176" spans="1:18" x14ac:dyDescent="0.25">
      <c r="A176" s="2" t="s">
        <v>310</v>
      </c>
      <c r="B176" s="2" t="s">
        <v>311</v>
      </c>
      <c r="D176" s="10">
        <v>-4013.5</v>
      </c>
      <c r="E176">
        <v>-100</v>
      </c>
      <c r="G176" s="10">
        <v>4013.5</v>
      </c>
      <c r="I176" s="30">
        <f t="shared" si="4"/>
        <v>0</v>
      </c>
      <c r="K176" s="24">
        <f>Administration!I182</f>
        <v>0</v>
      </c>
      <c r="L176" s="24">
        <f>Odense!I182</f>
        <v>0</v>
      </c>
      <c r="M176" s="24">
        <f>Laks!I182</f>
        <v>0</v>
      </c>
      <c r="N176" s="24">
        <f>Assens!I182</f>
        <v>0</v>
      </c>
      <c r="O176" s="24">
        <f>Nyborg!I182</f>
        <v>0</v>
      </c>
      <c r="P176" s="24">
        <f>Nordfyn!I182</f>
        <v>0</v>
      </c>
      <c r="Q176" s="24">
        <f>Kerteminde!I182</f>
        <v>0</v>
      </c>
      <c r="R176" s="24">
        <f>Særtilskud!I182</f>
        <v>0</v>
      </c>
    </row>
    <row r="177" spans="1:18" x14ac:dyDescent="0.25">
      <c r="A177" s="2" t="s">
        <v>312</v>
      </c>
      <c r="B177" s="2" t="s">
        <v>313</v>
      </c>
      <c r="C177" s="10">
        <v>-65018.69</v>
      </c>
      <c r="D177" s="10">
        <v>-273401.18</v>
      </c>
      <c r="E177">
        <v>-76.22</v>
      </c>
      <c r="F177">
        <v>23.78</v>
      </c>
      <c r="G177" s="10">
        <v>208382.49</v>
      </c>
      <c r="H177" s="34">
        <v>4</v>
      </c>
      <c r="I177" s="30">
        <f t="shared" si="4"/>
        <v>-220000</v>
      </c>
      <c r="K177" s="24">
        <f>Administration!I183</f>
        <v>0</v>
      </c>
      <c r="L177" s="24">
        <f>Odense!I183</f>
        <v>-85250</v>
      </c>
      <c r="M177" s="24">
        <f>Laks!I183</f>
        <v>0</v>
      </c>
      <c r="N177" s="24">
        <f>Assens!I183</f>
        <v>-33000</v>
      </c>
      <c r="O177" s="24">
        <f>Nyborg!I183</f>
        <v>-24750</v>
      </c>
      <c r="P177" s="24">
        <f>Nordfyn!I183</f>
        <v>-44000</v>
      </c>
      <c r="Q177" s="24">
        <f>Kerteminde!I183</f>
        <v>-33000</v>
      </c>
      <c r="R177" s="24">
        <f>Særtilskud!I183</f>
        <v>0</v>
      </c>
    </row>
    <row r="178" spans="1:18" x14ac:dyDescent="0.25">
      <c r="A178" s="2" t="s">
        <v>314</v>
      </c>
      <c r="B178" s="2" t="s">
        <v>315</v>
      </c>
      <c r="C178" s="10">
        <v>-88568.42</v>
      </c>
      <c r="D178" s="10">
        <v>-283097</v>
      </c>
      <c r="E178">
        <v>-68.709999999999994</v>
      </c>
      <c r="F178">
        <v>31.29</v>
      </c>
      <c r="G178" s="10">
        <v>194528.58</v>
      </c>
      <c r="I178" s="30">
        <f t="shared" ref="I178:I238" si="5">SUM(K178:R178)</f>
        <v>-270180</v>
      </c>
      <c r="K178" s="24">
        <f>Administration!I184</f>
        <v>-250000</v>
      </c>
      <c r="L178" s="24">
        <f>Odense!I184</f>
        <v>0</v>
      </c>
      <c r="M178" s="24">
        <f>Laks!I184</f>
        <v>-20180</v>
      </c>
      <c r="N178" s="24">
        <f>Assens!I184</f>
        <v>0</v>
      </c>
      <c r="O178" s="24">
        <f>Nyborg!I184</f>
        <v>0</v>
      </c>
      <c r="P178" s="24">
        <f>Nordfyn!I184</f>
        <v>0</v>
      </c>
      <c r="Q178" s="24">
        <f>Kerteminde!I184</f>
        <v>0</v>
      </c>
      <c r="R178" s="24">
        <f>Særtilskud!I184</f>
        <v>0</v>
      </c>
    </row>
    <row r="179" spans="1:18" x14ac:dyDescent="0.25">
      <c r="A179" s="2" t="s">
        <v>316</v>
      </c>
      <c r="B179" s="2" t="s">
        <v>317</v>
      </c>
      <c r="C179" s="10">
        <v>-29638.01</v>
      </c>
      <c r="D179" s="10">
        <v>-116035</v>
      </c>
      <c r="E179">
        <v>-74.459999999999994</v>
      </c>
      <c r="F179">
        <v>25.54</v>
      </c>
      <c r="G179" s="10">
        <v>86396.99</v>
      </c>
      <c r="I179" s="30">
        <f t="shared" si="5"/>
        <v>-72725</v>
      </c>
      <c r="K179" s="24">
        <f>Administration!I185</f>
        <v>-5000</v>
      </c>
      <c r="L179" s="24">
        <f>Odense!I185</f>
        <v>-25000</v>
      </c>
      <c r="M179" s="24">
        <f>Laks!I185</f>
        <v>0</v>
      </c>
      <c r="N179" s="24">
        <f>Assens!I185</f>
        <v>-25225</v>
      </c>
      <c r="O179" s="24">
        <f>Nyborg!I185</f>
        <v>-5000</v>
      </c>
      <c r="P179" s="24">
        <f>Nordfyn!I185</f>
        <v>-10000</v>
      </c>
      <c r="Q179" s="24">
        <f>Kerteminde!I185</f>
        <v>-2500</v>
      </c>
      <c r="R179" s="24">
        <f>Særtilskud!I185</f>
        <v>0</v>
      </c>
    </row>
    <row r="180" spans="1:18" x14ac:dyDescent="0.25">
      <c r="A180" s="2" t="s">
        <v>318</v>
      </c>
      <c r="B180" s="2" t="s">
        <v>319</v>
      </c>
      <c r="C180" s="10">
        <v>-76004.23</v>
      </c>
      <c r="D180" s="10">
        <v>-907507.82</v>
      </c>
      <c r="E180">
        <v>-91.62</v>
      </c>
      <c r="F180">
        <v>8.3800000000000008</v>
      </c>
      <c r="G180" s="10">
        <v>831503.59</v>
      </c>
      <c r="I180" s="30">
        <f t="shared" si="5"/>
        <v>-510090</v>
      </c>
      <c r="K180" s="24">
        <f>Administration!I186</f>
        <v>-500000</v>
      </c>
      <c r="L180" s="24">
        <f>Odense!I186</f>
        <v>0</v>
      </c>
      <c r="M180" s="24">
        <f>Laks!I186</f>
        <v>-10090</v>
      </c>
      <c r="N180" s="24">
        <f>Assens!I186</f>
        <v>0</v>
      </c>
      <c r="O180" s="24">
        <f>Nyborg!I186</f>
        <v>0</v>
      </c>
      <c r="P180" s="24">
        <f>Nordfyn!I186</f>
        <v>0</v>
      </c>
      <c r="Q180" s="24">
        <f>Kerteminde!I186</f>
        <v>0</v>
      </c>
      <c r="R180" s="24">
        <f>Særtilskud!I186</f>
        <v>0</v>
      </c>
    </row>
    <row r="181" spans="1:18" x14ac:dyDescent="0.25">
      <c r="A181" s="2" t="s">
        <v>320</v>
      </c>
      <c r="B181" s="2" t="s">
        <v>321</v>
      </c>
      <c r="C181" s="10">
        <v>-45539.55</v>
      </c>
      <c r="D181" s="10">
        <v>-214983.33</v>
      </c>
      <c r="E181">
        <v>-78.819999999999993</v>
      </c>
      <c r="F181">
        <v>21.18</v>
      </c>
      <c r="G181" s="10">
        <v>169443.78</v>
      </c>
      <c r="H181" s="34">
        <v>3</v>
      </c>
      <c r="I181" s="30">
        <f t="shared" si="5"/>
        <v>-176000</v>
      </c>
      <c r="K181" s="24">
        <f>Administration!I187</f>
        <v>0</v>
      </c>
      <c r="L181" s="24">
        <f>Odense!I187</f>
        <v>-68200</v>
      </c>
      <c r="M181" s="24">
        <f>Laks!I187</f>
        <v>0</v>
      </c>
      <c r="N181" s="24">
        <f>Assens!I187</f>
        <v>-26400</v>
      </c>
      <c r="O181" s="24">
        <f>Nyborg!I187</f>
        <v>-19800</v>
      </c>
      <c r="P181" s="24">
        <f>Nordfyn!I187</f>
        <v>-35200</v>
      </c>
      <c r="Q181" s="24">
        <f>Kerteminde!I187</f>
        <v>-26400</v>
      </c>
      <c r="R181" s="24">
        <f>Særtilskud!I187</f>
        <v>0</v>
      </c>
    </row>
    <row r="182" spans="1:18" x14ac:dyDescent="0.25">
      <c r="A182" s="2" t="s">
        <v>322</v>
      </c>
      <c r="B182" s="2" t="s">
        <v>323</v>
      </c>
      <c r="C182" s="10">
        <v>-1618415.47</v>
      </c>
      <c r="D182" s="10">
        <v>-4060320.06</v>
      </c>
      <c r="E182">
        <v>-60.14</v>
      </c>
      <c r="F182">
        <v>39.86</v>
      </c>
      <c r="G182" s="10">
        <v>2441904.59</v>
      </c>
      <c r="I182" s="30">
        <f t="shared" si="5"/>
        <v>-3986825</v>
      </c>
      <c r="K182" s="24">
        <f>Administration!I188</f>
        <v>0</v>
      </c>
      <c r="L182" s="24">
        <f>Odense!I188</f>
        <v>-1613800</v>
      </c>
      <c r="M182" s="24">
        <f>Laks!I188</f>
        <v>-689200</v>
      </c>
      <c r="N182" s="24">
        <f>Assens!I188</f>
        <v>-550000</v>
      </c>
      <c r="O182" s="24">
        <f>Nyborg!I188</f>
        <v>-255000</v>
      </c>
      <c r="P182" s="24">
        <f>Nordfyn!I188</f>
        <v>-528825</v>
      </c>
      <c r="Q182" s="24">
        <f>Kerteminde!I188</f>
        <v>-350000</v>
      </c>
      <c r="R182" s="24">
        <f>Særtilskud!I188</f>
        <v>0</v>
      </c>
    </row>
    <row r="183" spans="1:18" x14ac:dyDescent="0.25">
      <c r="A183" s="2" t="s">
        <v>324</v>
      </c>
      <c r="B183" s="2" t="s">
        <v>325</v>
      </c>
      <c r="C183" s="10">
        <v>2740</v>
      </c>
      <c r="D183" s="10">
        <v>-42639.97</v>
      </c>
      <c r="E183">
        <v>-106.43</v>
      </c>
      <c r="F183">
        <v>-6.43</v>
      </c>
      <c r="G183" s="10">
        <v>45379.97</v>
      </c>
      <c r="I183" s="30">
        <f t="shared" si="5"/>
        <v>0</v>
      </c>
      <c r="K183" s="24">
        <f>Administration!I189</f>
        <v>0</v>
      </c>
      <c r="L183" s="24">
        <f>Odense!I189</f>
        <v>0</v>
      </c>
      <c r="M183" s="24">
        <f>Laks!I189</f>
        <v>0</v>
      </c>
      <c r="N183" s="24">
        <f>Assens!I189</f>
        <v>0</v>
      </c>
      <c r="O183" s="24">
        <f>Nyborg!I189</f>
        <v>0</v>
      </c>
      <c r="P183" s="24">
        <f>Nordfyn!I189</f>
        <v>0</v>
      </c>
      <c r="Q183" s="24">
        <f>Kerteminde!I189</f>
        <v>0</v>
      </c>
      <c r="R183" s="24">
        <f>Særtilskud!I189</f>
        <v>0</v>
      </c>
    </row>
    <row r="184" spans="1:18" x14ac:dyDescent="0.25">
      <c r="A184" s="2" t="s">
        <v>326</v>
      </c>
      <c r="B184" s="2" t="s">
        <v>327</v>
      </c>
      <c r="C184" s="10">
        <v>-96589.47</v>
      </c>
      <c r="D184" s="10">
        <v>-146358.48000000001</v>
      </c>
      <c r="E184">
        <v>-34</v>
      </c>
      <c r="F184">
        <v>66</v>
      </c>
      <c r="G184" s="10">
        <v>49769.01</v>
      </c>
      <c r="I184" s="30">
        <f t="shared" si="5"/>
        <v>-141260</v>
      </c>
      <c r="K184" s="24">
        <f>Administration!I190</f>
        <v>0</v>
      </c>
      <c r="L184" s="24">
        <f>Odense!I190</f>
        <v>0</v>
      </c>
      <c r="M184" s="24">
        <f>Laks!I190</f>
        <v>0</v>
      </c>
      <c r="N184" s="24">
        <f>Assens!I190</f>
        <v>-141260</v>
      </c>
      <c r="O184" s="24">
        <f>Nyborg!I190</f>
        <v>0</v>
      </c>
      <c r="P184" s="24">
        <f>Nordfyn!I190</f>
        <v>0</v>
      </c>
      <c r="Q184" s="24">
        <f>Kerteminde!I190</f>
        <v>0</v>
      </c>
      <c r="R184" s="24">
        <f>Særtilskud!I190</f>
        <v>0</v>
      </c>
    </row>
    <row r="185" spans="1:18" x14ac:dyDescent="0.25">
      <c r="A185" s="2" t="s">
        <v>328</v>
      </c>
      <c r="B185" s="2" t="s">
        <v>329</v>
      </c>
      <c r="I185" s="30">
        <f t="shared" si="5"/>
        <v>0</v>
      </c>
      <c r="K185" s="24">
        <f>Administration!I191</f>
        <v>0</v>
      </c>
      <c r="L185" s="24">
        <f>Odense!I191</f>
        <v>0</v>
      </c>
      <c r="M185" s="24">
        <f>Laks!I191</f>
        <v>0</v>
      </c>
      <c r="N185" s="24">
        <f>Assens!I191</f>
        <v>0</v>
      </c>
      <c r="O185" s="24">
        <f>Nyborg!I191</f>
        <v>0</v>
      </c>
      <c r="P185" s="24">
        <f>Nordfyn!I191</f>
        <v>0</v>
      </c>
      <c r="Q185" s="24">
        <f>Kerteminde!I191</f>
        <v>0</v>
      </c>
      <c r="R185" s="24">
        <f>Særtilskud!I191</f>
        <v>0</v>
      </c>
    </row>
    <row r="186" spans="1:18" x14ac:dyDescent="0.25">
      <c r="A186" s="2" t="s">
        <v>330</v>
      </c>
      <c r="B186" s="2" t="s">
        <v>331</v>
      </c>
      <c r="C186" s="10">
        <v>-120482.23</v>
      </c>
      <c r="D186" s="10">
        <v>-595310</v>
      </c>
      <c r="E186">
        <v>-79.760000000000005</v>
      </c>
      <c r="F186">
        <v>20.239999999999998</v>
      </c>
      <c r="G186" s="10">
        <v>474827.77</v>
      </c>
      <c r="I186" s="30">
        <f t="shared" si="5"/>
        <v>-150900</v>
      </c>
      <c r="K186" s="24">
        <f>Administration!I192</f>
        <v>0</v>
      </c>
      <c r="L186" s="24">
        <f>Odense!I192</f>
        <v>-10000</v>
      </c>
      <c r="M186" s="24">
        <f>Laks!I192</f>
        <v>-100900</v>
      </c>
      <c r="N186" s="24">
        <f>Assens!I192</f>
        <v>-10000</v>
      </c>
      <c r="O186" s="24">
        <f>Nyborg!I192</f>
        <v>-10000</v>
      </c>
      <c r="P186" s="24">
        <f>Nordfyn!I192</f>
        <v>-10000</v>
      </c>
      <c r="Q186" s="24">
        <f>Kerteminde!I192</f>
        <v>-10000</v>
      </c>
      <c r="R186" s="24">
        <f>Særtilskud!I192</f>
        <v>0</v>
      </c>
    </row>
    <row r="187" spans="1:18" x14ac:dyDescent="0.25">
      <c r="A187" s="2" t="s">
        <v>332</v>
      </c>
      <c r="B187" s="2" t="s">
        <v>333</v>
      </c>
      <c r="I187" s="30">
        <f t="shared" si="5"/>
        <v>0</v>
      </c>
      <c r="K187" s="24">
        <f>Administration!I193</f>
        <v>0</v>
      </c>
      <c r="L187" s="24">
        <f>Odense!I193</f>
        <v>0</v>
      </c>
      <c r="M187" s="24">
        <f>Laks!I193</f>
        <v>0</v>
      </c>
      <c r="N187" s="24">
        <f>Assens!I193</f>
        <v>0</v>
      </c>
      <c r="O187" s="24">
        <f>Nyborg!I193</f>
        <v>0</v>
      </c>
      <c r="P187" s="24">
        <f>Nordfyn!I193</f>
        <v>0</v>
      </c>
      <c r="Q187" s="24">
        <f>Kerteminde!I193</f>
        <v>0</v>
      </c>
      <c r="R187" s="24">
        <f>Særtilskud!I193</f>
        <v>0</v>
      </c>
    </row>
    <row r="188" spans="1:18" x14ac:dyDescent="0.25">
      <c r="A188" s="2" t="s">
        <v>334</v>
      </c>
      <c r="B188" s="2" t="s">
        <v>335</v>
      </c>
      <c r="C188" s="10">
        <v>-1819.23</v>
      </c>
      <c r="G188" s="10">
        <v>-1819.23</v>
      </c>
      <c r="I188" s="30">
        <f t="shared" si="5"/>
        <v>0</v>
      </c>
      <c r="K188" s="24">
        <f>Administration!I194</f>
        <v>0</v>
      </c>
      <c r="L188" s="24">
        <f>Odense!I194</f>
        <v>0</v>
      </c>
      <c r="M188" s="24">
        <f>Laks!I194</f>
        <v>0</v>
      </c>
      <c r="N188" s="24">
        <f>Assens!I194</f>
        <v>0</v>
      </c>
      <c r="O188" s="24">
        <f>Nyborg!I194</f>
        <v>0</v>
      </c>
      <c r="P188" s="24">
        <f>Nordfyn!I194</f>
        <v>0</v>
      </c>
      <c r="Q188" s="24">
        <f>Kerteminde!I194</f>
        <v>0</v>
      </c>
      <c r="R188" s="24">
        <f>Særtilskud!I194</f>
        <v>0</v>
      </c>
    </row>
    <row r="189" spans="1:18" x14ac:dyDescent="0.25">
      <c r="A189" s="2" t="s">
        <v>336</v>
      </c>
      <c r="B189" s="2" t="s">
        <v>337</v>
      </c>
      <c r="I189" s="30">
        <f t="shared" si="5"/>
        <v>0</v>
      </c>
      <c r="K189" s="24">
        <f>Administration!I195</f>
        <v>0</v>
      </c>
      <c r="L189" s="24">
        <f>Odense!I195</f>
        <v>0</v>
      </c>
      <c r="M189" s="24">
        <f>Laks!I195</f>
        <v>0</v>
      </c>
      <c r="N189" s="24">
        <f>Assens!I195</f>
        <v>0</v>
      </c>
      <c r="O189" s="24">
        <f>Nyborg!I195</f>
        <v>0</v>
      </c>
      <c r="P189" s="24">
        <f>Nordfyn!I195</f>
        <v>0</v>
      </c>
      <c r="Q189" s="24">
        <f>Kerteminde!I195</f>
        <v>0</v>
      </c>
      <c r="R189" s="24">
        <f>Særtilskud!I195</f>
        <v>0</v>
      </c>
    </row>
    <row r="190" spans="1:18" x14ac:dyDescent="0.25">
      <c r="A190" s="2" t="s">
        <v>338</v>
      </c>
      <c r="B190" s="2" t="s">
        <v>339</v>
      </c>
      <c r="C190" s="10">
        <v>-7550.27</v>
      </c>
      <c r="G190" s="10">
        <v>-7550.27</v>
      </c>
      <c r="I190" s="30">
        <f t="shared" si="5"/>
        <v>-15000</v>
      </c>
      <c r="K190" s="24">
        <f>Administration!I196</f>
        <v>-15000</v>
      </c>
      <c r="L190" s="24">
        <f>Odense!I196</f>
        <v>0</v>
      </c>
      <c r="M190" s="24">
        <f>Laks!I196</f>
        <v>0</v>
      </c>
      <c r="N190" s="24">
        <f>Assens!I196</f>
        <v>0</v>
      </c>
      <c r="O190" s="24">
        <f>Nyborg!I196</f>
        <v>0</v>
      </c>
      <c r="P190" s="24">
        <f>Nordfyn!I196</f>
        <v>0</v>
      </c>
      <c r="Q190" s="24">
        <f>Kerteminde!I196</f>
        <v>0</v>
      </c>
      <c r="R190" s="24">
        <f>Særtilskud!I196</f>
        <v>0</v>
      </c>
    </row>
    <row r="191" spans="1:18" x14ac:dyDescent="0.25">
      <c r="A191" s="3" t="s">
        <v>340</v>
      </c>
      <c r="B191" s="3" t="s">
        <v>341</v>
      </c>
      <c r="C191" s="12">
        <v>-9245267.3300000001</v>
      </c>
      <c r="D191" s="12">
        <v>-25994836.359999999</v>
      </c>
      <c r="E191" s="4">
        <v>-64.430000000000007</v>
      </c>
      <c r="F191" s="4">
        <v>35.57</v>
      </c>
      <c r="G191" s="12">
        <v>16749569.029999999</v>
      </c>
      <c r="I191" s="28">
        <f t="shared" si="5"/>
        <v>-26165088.610000003</v>
      </c>
      <c r="K191" s="29">
        <f>Administration!I197</f>
        <v>5226498.3999999985</v>
      </c>
      <c r="L191" s="29">
        <f>Odense!I197</f>
        <v>-11385593.4593</v>
      </c>
      <c r="M191" s="29">
        <f>Laks!I197</f>
        <v>-2327762.2760000001</v>
      </c>
      <c r="N191" s="29">
        <f>Assens!I197</f>
        <v>-4620845.3635999998</v>
      </c>
      <c r="O191" s="29">
        <f>Nyborg!I197</f>
        <v>-3681361.8626999995</v>
      </c>
      <c r="P191" s="29">
        <f>Nordfyn!I197</f>
        <v>-5188397.2848000005</v>
      </c>
      <c r="Q191" s="29">
        <f>Kerteminde!I197</f>
        <v>-4187626.7635999997</v>
      </c>
      <c r="R191" s="29">
        <f>Særtilskud!I197</f>
        <v>0</v>
      </c>
    </row>
    <row r="192" spans="1:18" x14ac:dyDescent="0.25">
      <c r="A192" s="2" t="s">
        <v>12</v>
      </c>
      <c r="B192" s="2" t="s">
        <v>12</v>
      </c>
      <c r="I192" s="30"/>
    </row>
    <row r="193" spans="1:18" x14ac:dyDescent="0.25">
      <c r="A193" s="3" t="s">
        <v>342</v>
      </c>
      <c r="B193" s="3" t="s">
        <v>343</v>
      </c>
      <c r="C193" s="12"/>
      <c r="D193" s="12"/>
      <c r="E193" s="4"/>
      <c r="F193" s="4"/>
      <c r="G193" s="12"/>
      <c r="I193" s="28">
        <f t="shared" si="5"/>
        <v>0</v>
      </c>
      <c r="K193" s="29">
        <f>Administration!I199</f>
        <v>0</v>
      </c>
      <c r="L193" s="29">
        <f>Odense!I199</f>
        <v>0</v>
      </c>
      <c r="M193" s="29">
        <f>Laks!I199</f>
        <v>0</v>
      </c>
      <c r="N193" s="29">
        <f>Assens!I199</f>
        <v>0</v>
      </c>
      <c r="O193" s="29">
        <f>Nyborg!I199</f>
        <v>0</v>
      </c>
      <c r="P193" s="29">
        <f>Nordfyn!I199</f>
        <v>0</v>
      </c>
      <c r="Q193" s="29">
        <f>Kerteminde!I199</f>
        <v>0</v>
      </c>
      <c r="R193" s="29">
        <f>Særtilskud!I199</f>
        <v>0</v>
      </c>
    </row>
    <row r="194" spans="1:18" x14ac:dyDescent="0.25">
      <c r="A194" s="2" t="s">
        <v>344</v>
      </c>
      <c r="B194" s="2" t="s">
        <v>345</v>
      </c>
      <c r="I194" s="30">
        <f t="shared" si="5"/>
        <v>0</v>
      </c>
      <c r="K194" s="24">
        <f>Administration!I200</f>
        <v>0</v>
      </c>
      <c r="L194" s="24">
        <f>Odense!I200</f>
        <v>0</v>
      </c>
      <c r="M194" s="24">
        <f>Laks!I200</f>
        <v>0</v>
      </c>
      <c r="N194" s="24">
        <f>Assens!I200</f>
        <v>0</v>
      </c>
      <c r="O194" s="24">
        <f>Nyborg!I200</f>
        <v>0</v>
      </c>
      <c r="P194" s="24">
        <f>Nordfyn!I200</f>
        <v>0</v>
      </c>
      <c r="Q194" s="24">
        <f>Kerteminde!I200</f>
        <v>0</v>
      </c>
      <c r="R194" s="24">
        <f>Særtilskud!I200</f>
        <v>0</v>
      </c>
    </row>
    <row r="195" spans="1:18" x14ac:dyDescent="0.25">
      <c r="A195" s="2" t="s">
        <v>346</v>
      </c>
      <c r="B195" s="2" t="s">
        <v>347</v>
      </c>
      <c r="I195" s="30">
        <f t="shared" si="5"/>
        <v>0</v>
      </c>
      <c r="K195" s="24">
        <f>Administration!I201</f>
        <v>0</v>
      </c>
      <c r="L195" s="24">
        <f>Odense!I201</f>
        <v>0</v>
      </c>
      <c r="M195" s="24">
        <f>Laks!I201</f>
        <v>0</v>
      </c>
      <c r="N195" s="24">
        <f>Assens!I201</f>
        <v>0</v>
      </c>
      <c r="O195" s="24">
        <f>Nyborg!I201</f>
        <v>0</v>
      </c>
      <c r="P195" s="24">
        <f>Nordfyn!I201</f>
        <v>0</v>
      </c>
      <c r="Q195" s="24">
        <f>Kerteminde!I201</f>
        <v>0</v>
      </c>
      <c r="R195" s="24">
        <f>Særtilskud!I201</f>
        <v>0</v>
      </c>
    </row>
    <row r="196" spans="1:18" x14ac:dyDescent="0.25">
      <c r="A196" s="2" t="s">
        <v>348</v>
      </c>
      <c r="B196" s="2" t="s">
        <v>349</v>
      </c>
      <c r="I196" s="30">
        <f t="shared" si="5"/>
        <v>0</v>
      </c>
      <c r="K196" s="24">
        <f>Administration!I202</f>
        <v>0</v>
      </c>
      <c r="L196" s="24">
        <f>Odense!I202</f>
        <v>0</v>
      </c>
      <c r="M196" s="24">
        <f>Laks!I202</f>
        <v>0</v>
      </c>
      <c r="N196" s="24">
        <f>Assens!I202</f>
        <v>0</v>
      </c>
      <c r="O196" s="24">
        <f>Nyborg!I202</f>
        <v>0</v>
      </c>
      <c r="P196" s="24">
        <f>Nordfyn!I202</f>
        <v>0</v>
      </c>
      <c r="Q196" s="24">
        <f>Kerteminde!I202</f>
        <v>0</v>
      </c>
      <c r="R196" s="24">
        <f>Særtilskud!I202</f>
        <v>0</v>
      </c>
    </row>
    <row r="197" spans="1:18" x14ac:dyDescent="0.25">
      <c r="A197" s="2" t="s">
        <v>350</v>
      </c>
      <c r="B197" s="2" t="s">
        <v>351</v>
      </c>
      <c r="I197" s="30">
        <f t="shared" si="5"/>
        <v>0</v>
      </c>
      <c r="K197" s="24">
        <f>Administration!I203</f>
        <v>0</v>
      </c>
      <c r="L197" s="24">
        <f>Odense!I203</f>
        <v>0</v>
      </c>
      <c r="M197" s="24">
        <f>Laks!I203</f>
        <v>0</v>
      </c>
      <c r="N197" s="24">
        <f>Assens!I203</f>
        <v>0</v>
      </c>
      <c r="O197" s="24">
        <f>Nyborg!I203</f>
        <v>0</v>
      </c>
      <c r="P197" s="24">
        <f>Nordfyn!I203</f>
        <v>0</v>
      </c>
      <c r="Q197" s="24">
        <f>Kerteminde!I203</f>
        <v>0</v>
      </c>
      <c r="R197" s="24">
        <f>Særtilskud!I203</f>
        <v>0</v>
      </c>
    </row>
    <row r="198" spans="1:18" x14ac:dyDescent="0.25">
      <c r="A198" s="2" t="s">
        <v>352</v>
      </c>
      <c r="B198" s="2" t="s">
        <v>353</v>
      </c>
      <c r="I198" s="30">
        <f t="shared" si="5"/>
        <v>0</v>
      </c>
      <c r="K198" s="24">
        <f>Administration!I204</f>
        <v>0</v>
      </c>
      <c r="L198" s="24">
        <f>Odense!I204</f>
        <v>0</v>
      </c>
      <c r="M198" s="24">
        <f>Laks!I204</f>
        <v>0</v>
      </c>
      <c r="N198" s="24">
        <f>Assens!I204</f>
        <v>0</v>
      </c>
      <c r="O198" s="24">
        <f>Nyborg!I204</f>
        <v>0</v>
      </c>
      <c r="P198" s="24">
        <f>Nordfyn!I204</f>
        <v>0</v>
      </c>
      <c r="Q198" s="24">
        <f>Kerteminde!I204</f>
        <v>0</v>
      </c>
      <c r="R198" s="24">
        <f>Særtilskud!I204</f>
        <v>0</v>
      </c>
    </row>
    <row r="199" spans="1:18" x14ac:dyDescent="0.25">
      <c r="A199" s="2" t="s">
        <v>354</v>
      </c>
      <c r="B199" s="2" t="s">
        <v>355</v>
      </c>
      <c r="C199" s="10">
        <v>29.66</v>
      </c>
      <c r="G199" s="10">
        <v>29.66</v>
      </c>
      <c r="I199" s="30">
        <f t="shared" si="5"/>
        <v>0</v>
      </c>
      <c r="K199" s="24">
        <f>Administration!I205</f>
        <v>0</v>
      </c>
      <c r="L199" s="24">
        <f>Odense!I205</f>
        <v>0</v>
      </c>
      <c r="M199" s="24">
        <f>Laks!I205</f>
        <v>0</v>
      </c>
      <c r="N199" s="24">
        <f>Assens!I205</f>
        <v>0</v>
      </c>
      <c r="O199" s="24">
        <f>Nyborg!I205</f>
        <v>0</v>
      </c>
      <c r="P199" s="24">
        <f>Nordfyn!I205</f>
        <v>0</v>
      </c>
      <c r="Q199" s="24">
        <f>Kerteminde!I205</f>
        <v>0</v>
      </c>
      <c r="R199" s="24">
        <f>Særtilskud!I205</f>
        <v>0</v>
      </c>
    </row>
    <row r="200" spans="1:18" x14ac:dyDescent="0.25">
      <c r="A200" s="2" t="s">
        <v>356</v>
      </c>
      <c r="B200" s="2" t="s">
        <v>357</v>
      </c>
      <c r="I200" s="30">
        <f t="shared" si="5"/>
        <v>0</v>
      </c>
      <c r="K200" s="24">
        <f>Administration!I206</f>
        <v>0</v>
      </c>
      <c r="L200" s="24">
        <f>Odense!I206</f>
        <v>0</v>
      </c>
      <c r="M200" s="24">
        <f>Laks!I206</f>
        <v>0</v>
      </c>
      <c r="N200" s="24">
        <f>Assens!I206</f>
        <v>0</v>
      </c>
      <c r="O200" s="24">
        <f>Nyborg!I206</f>
        <v>0</v>
      </c>
      <c r="P200" s="24">
        <f>Nordfyn!I206</f>
        <v>0</v>
      </c>
      <c r="Q200" s="24">
        <f>Kerteminde!I206</f>
        <v>0</v>
      </c>
      <c r="R200" s="24">
        <f>Særtilskud!I206</f>
        <v>0</v>
      </c>
    </row>
    <row r="201" spans="1:18" x14ac:dyDescent="0.25">
      <c r="A201" s="2" t="s">
        <v>358</v>
      </c>
      <c r="B201" s="2" t="s">
        <v>359</v>
      </c>
      <c r="I201" s="30">
        <f t="shared" si="5"/>
        <v>0</v>
      </c>
      <c r="K201" s="24">
        <f>Administration!I207</f>
        <v>0</v>
      </c>
      <c r="L201" s="24">
        <f>Odense!I207</f>
        <v>0</v>
      </c>
      <c r="M201" s="24">
        <f>Laks!I207</f>
        <v>0</v>
      </c>
      <c r="N201" s="24">
        <f>Assens!I207</f>
        <v>0</v>
      </c>
      <c r="O201" s="24">
        <f>Nyborg!I207</f>
        <v>0</v>
      </c>
      <c r="P201" s="24">
        <f>Nordfyn!I207</f>
        <v>0</v>
      </c>
      <c r="Q201" s="24">
        <f>Kerteminde!I207</f>
        <v>0</v>
      </c>
      <c r="R201" s="24">
        <f>Særtilskud!I207</f>
        <v>0</v>
      </c>
    </row>
    <row r="202" spans="1:18" x14ac:dyDescent="0.25">
      <c r="A202" s="3" t="s">
        <v>360</v>
      </c>
      <c r="B202" s="3" t="s">
        <v>361</v>
      </c>
      <c r="C202" s="12">
        <v>29.66</v>
      </c>
      <c r="D202" s="12"/>
      <c r="E202" s="4"/>
      <c r="F202" s="4"/>
      <c r="G202" s="12">
        <v>29.66</v>
      </c>
      <c r="I202" s="28">
        <f t="shared" si="5"/>
        <v>0</v>
      </c>
      <c r="K202" s="29">
        <f>Administration!I208</f>
        <v>0</v>
      </c>
      <c r="L202" s="29">
        <f>Odense!I208</f>
        <v>0</v>
      </c>
      <c r="M202" s="29">
        <f>Laks!I208</f>
        <v>0</v>
      </c>
      <c r="N202" s="29">
        <f>Assens!I208</f>
        <v>0</v>
      </c>
      <c r="O202" s="29">
        <f>Nyborg!I208</f>
        <v>0</v>
      </c>
      <c r="P202" s="29">
        <f>Nordfyn!I208</f>
        <v>0</v>
      </c>
      <c r="Q202" s="29">
        <f>Kerteminde!I208</f>
        <v>0</v>
      </c>
      <c r="R202" s="29">
        <f>Særtilskud!I208</f>
        <v>0</v>
      </c>
    </row>
    <row r="203" spans="1:18" x14ac:dyDescent="0.25">
      <c r="A203" s="2" t="s">
        <v>12</v>
      </c>
      <c r="B203" s="2" t="s">
        <v>12</v>
      </c>
      <c r="I203" s="30"/>
      <c r="K203" s="24">
        <f>K192*J203</f>
        <v>0</v>
      </c>
      <c r="L203" s="24">
        <f>L192*J203</f>
        <v>0</v>
      </c>
      <c r="M203" s="24">
        <f>M192*J203</f>
        <v>0</v>
      </c>
      <c r="N203" s="24">
        <f>N192*J203</f>
        <v>0</v>
      </c>
      <c r="O203" s="24">
        <f>O192*J203</f>
        <v>0</v>
      </c>
      <c r="P203" s="24">
        <f>P192*J203</f>
        <v>0</v>
      </c>
      <c r="Q203" s="24">
        <f>Q192*J203</f>
        <v>0</v>
      </c>
    </row>
    <row r="204" spans="1:18" x14ac:dyDescent="0.25">
      <c r="A204" s="3" t="s">
        <v>362</v>
      </c>
      <c r="B204" s="3" t="s">
        <v>40</v>
      </c>
      <c r="C204" s="12"/>
      <c r="D204" s="12"/>
      <c r="E204" s="4"/>
      <c r="F204" s="4"/>
      <c r="G204" s="12"/>
      <c r="I204" s="28">
        <f t="shared" si="5"/>
        <v>0</v>
      </c>
      <c r="K204" s="29">
        <f>Administration!I210</f>
        <v>0</v>
      </c>
      <c r="L204" s="29">
        <f>Odense!I210</f>
        <v>0</v>
      </c>
      <c r="M204" s="29">
        <f>Laks!I210</f>
        <v>0</v>
      </c>
      <c r="N204" s="29">
        <f>Assens!I210</f>
        <v>0</v>
      </c>
      <c r="O204" s="29">
        <f>Nyborg!I210</f>
        <v>0</v>
      </c>
      <c r="P204" s="29">
        <f>Nordfyn!I210</f>
        <v>0</v>
      </c>
      <c r="Q204" s="29">
        <f>Kerteminde!I210</f>
        <v>0</v>
      </c>
      <c r="R204" s="29">
        <f>Særtilskud!I210</f>
        <v>0</v>
      </c>
    </row>
    <row r="205" spans="1:18" x14ac:dyDescent="0.25">
      <c r="A205" s="2" t="s">
        <v>363</v>
      </c>
      <c r="B205" s="2" t="s">
        <v>364</v>
      </c>
      <c r="I205" s="30">
        <f t="shared" si="5"/>
        <v>0</v>
      </c>
      <c r="K205" s="24">
        <f>Administration!I211</f>
        <v>0</v>
      </c>
      <c r="L205" s="24">
        <f>Odense!I211</f>
        <v>0</v>
      </c>
      <c r="M205" s="24">
        <f>Laks!I211</f>
        <v>0</v>
      </c>
      <c r="N205" s="24">
        <f>Assens!I211</f>
        <v>0</v>
      </c>
      <c r="O205" s="24">
        <f>Nyborg!I211</f>
        <v>0</v>
      </c>
      <c r="P205" s="24">
        <f>Nordfyn!I211</f>
        <v>0</v>
      </c>
      <c r="Q205" s="24">
        <f>Kerteminde!I211</f>
        <v>0</v>
      </c>
      <c r="R205" s="24">
        <f>Særtilskud!I211</f>
        <v>0</v>
      </c>
    </row>
    <row r="206" spans="1:18" x14ac:dyDescent="0.25">
      <c r="A206" s="2" t="s">
        <v>365</v>
      </c>
      <c r="B206" s="2" t="s">
        <v>366</v>
      </c>
      <c r="C206" s="10">
        <v>-99598.22</v>
      </c>
      <c r="D206" s="10">
        <v>-216000</v>
      </c>
      <c r="E206">
        <v>-53.89</v>
      </c>
      <c r="F206">
        <v>46.11</v>
      </c>
      <c r="G206" s="10">
        <v>116401.78</v>
      </c>
      <c r="H206" s="34">
        <v>9</v>
      </c>
      <c r="I206" s="30">
        <f t="shared" si="5"/>
        <v>-187600</v>
      </c>
      <c r="K206" s="24">
        <f>Administration!I212</f>
        <v>0</v>
      </c>
      <c r="L206" s="24">
        <f>Odense!I212</f>
        <v>0</v>
      </c>
      <c r="M206" s="24">
        <f>Laks!I212</f>
        <v>0</v>
      </c>
      <c r="N206" s="24">
        <f>Assens!I212</f>
        <v>0</v>
      </c>
      <c r="O206" s="24">
        <f>Nyborg!I212</f>
        <v>0</v>
      </c>
      <c r="P206" s="24">
        <f>Nordfyn!I212</f>
        <v>-18800</v>
      </c>
      <c r="Q206" s="24">
        <f>Kerteminde!I212</f>
        <v>-168800</v>
      </c>
      <c r="R206" s="24">
        <f>Særtilskud!I212</f>
        <v>0</v>
      </c>
    </row>
    <row r="207" spans="1:18" x14ac:dyDescent="0.25">
      <c r="A207" s="2" t="s">
        <v>367</v>
      </c>
      <c r="B207" s="2" t="s">
        <v>368</v>
      </c>
      <c r="C207" s="10">
        <v>-7865</v>
      </c>
      <c r="D207" s="10">
        <v>-3600</v>
      </c>
      <c r="E207">
        <v>118.47</v>
      </c>
      <c r="F207">
        <v>218.47</v>
      </c>
      <c r="G207" s="10">
        <v>-4265</v>
      </c>
      <c r="I207" s="30">
        <f t="shared" si="5"/>
        <v>-2500</v>
      </c>
      <c r="K207" s="24">
        <f>Administration!I213</f>
        <v>-2500</v>
      </c>
      <c r="L207" s="24">
        <f>Odense!I213</f>
        <v>0</v>
      </c>
      <c r="M207" s="24">
        <f>Laks!I213</f>
        <v>0</v>
      </c>
      <c r="N207" s="24">
        <f>Assens!I213</f>
        <v>0</v>
      </c>
      <c r="O207" s="24">
        <f>Nyborg!I213</f>
        <v>0</v>
      </c>
      <c r="P207" s="24">
        <f>Nordfyn!I213</f>
        <v>0</v>
      </c>
      <c r="Q207" s="24">
        <f>Kerteminde!I213</f>
        <v>0</v>
      </c>
      <c r="R207" s="24">
        <f>Særtilskud!I213</f>
        <v>0</v>
      </c>
    </row>
    <row r="208" spans="1:18" x14ac:dyDescent="0.25">
      <c r="A208" s="2" t="s">
        <v>369</v>
      </c>
      <c r="B208" s="2" t="s">
        <v>370</v>
      </c>
      <c r="C208" s="10">
        <v>-7570.83</v>
      </c>
      <c r="D208" s="10">
        <v>-7500</v>
      </c>
      <c r="E208">
        <v>0.94</v>
      </c>
      <c r="F208">
        <v>100.94</v>
      </c>
      <c r="G208" s="10">
        <v>-70.83</v>
      </c>
      <c r="I208" s="30">
        <f t="shared" si="5"/>
        <v>0</v>
      </c>
      <c r="K208" s="24">
        <f>Administration!I214</f>
        <v>0</v>
      </c>
      <c r="L208" s="24">
        <f>Odense!I214</f>
        <v>0</v>
      </c>
      <c r="M208" s="24">
        <f>Laks!I214</f>
        <v>0</v>
      </c>
      <c r="N208" s="24">
        <f>Assens!I214</f>
        <v>0</v>
      </c>
      <c r="O208" s="24">
        <f>Nyborg!I214</f>
        <v>0</v>
      </c>
      <c r="P208" s="24">
        <f>Nordfyn!I214</f>
        <v>0</v>
      </c>
      <c r="Q208" s="24">
        <f>Kerteminde!I214</f>
        <v>0</v>
      </c>
      <c r="R208" s="24">
        <f>Særtilskud!I214</f>
        <v>0</v>
      </c>
    </row>
    <row r="209" spans="1:18" x14ac:dyDescent="0.25">
      <c r="A209" s="2" t="s">
        <v>371</v>
      </c>
      <c r="B209" s="2" t="s">
        <v>372</v>
      </c>
      <c r="C209" s="10">
        <v>-3205.75</v>
      </c>
      <c r="G209" s="10">
        <v>-3205.75</v>
      </c>
      <c r="I209" s="30">
        <f t="shared" si="5"/>
        <v>-2500</v>
      </c>
      <c r="K209" s="24">
        <f>Administration!I215</f>
        <v>-2500</v>
      </c>
      <c r="L209" s="24">
        <f>Odense!I215</f>
        <v>0</v>
      </c>
      <c r="M209" s="24">
        <f>Laks!I215</f>
        <v>0</v>
      </c>
      <c r="N209" s="24">
        <f>Assens!I215</f>
        <v>0</v>
      </c>
      <c r="O209" s="24">
        <f>Nyborg!I215</f>
        <v>0</v>
      </c>
      <c r="P209" s="24">
        <f>Nordfyn!I215</f>
        <v>0</v>
      </c>
      <c r="Q209" s="24">
        <f>Kerteminde!I215</f>
        <v>0</v>
      </c>
      <c r="R209" s="24">
        <f>Særtilskud!I215</f>
        <v>0</v>
      </c>
    </row>
    <row r="210" spans="1:18" x14ac:dyDescent="0.25">
      <c r="A210" s="2" t="s">
        <v>373</v>
      </c>
      <c r="B210" s="2" t="s">
        <v>374</v>
      </c>
      <c r="I210" s="30">
        <f t="shared" si="5"/>
        <v>0</v>
      </c>
      <c r="K210" s="24">
        <f>Administration!I216</f>
        <v>0</v>
      </c>
      <c r="L210" s="24">
        <f>Odense!I216</f>
        <v>0</v>
      </c>
      <c r="M210" s="24">
        <f>Laks!I216</f>
        <v>0</v>
      </c>
      <c r="N210" s="24">
        <f>Assens!I216</f>
        <v>0</v>
      </c>
      <c r="O210" s="24">
        <f>Nyborg!I216</f>
        <v>0</v>
      </c>
      <c r="P210" s="24">
        <f>Nordfyn!I216</f>
        <v>0</v>
      </c>
      <c r="Q210" s="24">
        <f>Kerteminde!I216</f>
        <v>0</v>
      </c>
      <c r="R210" s="24">
        <f>Særtilskud!I216</f>
        <v>0</v>
      </c>
    </row>
    <row r="211" spans="1:18" x14ac:dyDescent="0.25">
      <c r="A211" s="2" t="s">
        <v>375</v>
      </c>
      <c r="B211" s="2" t="s">
        <v>376</v>
      </c>
      <c r="I211" s="30">
        <f t="shared" si="5"/>
        <v>0</v>
      </c>
      <c r="K211" s="24">
        <f>Administration!I217</f>
        <v>0</v>
      </c>
      <c r="L211" s="24">
        <f>Odense!I217</f>
        <v>0</v>
      </c>
      <c r="M211" s="24">
        <f>Laks!I217</f>
        <v>0</v>
      </c>
      <c r="N211" s="24">
        <f>Assens!I217</f>
        <v>0</v>
      </c>
      <c r="O211" s="24">
        <f>Nyborg!I217</f>
        <v>0</v>
      </c>
      <c r="P211" s="24">
        <f>Nordfyn!I217</f>
        <v>0</v>
      </c>
      <c r="Q211" s="24">
        <f>Kerteminde!I217</f>
        <v>0</v>
      </c>
      <c r="R211" s="24">
        <f>Særtilskud!I217</f>
        <v>0</v>
      </c>
    </row>
    <row r="212" spans="1:18" x14ac:dyDescent="0.25">
      <c r="A212" s="3" t="s">
        <v>377</v>
      </c>
      <c r="B212" s="3" t="s">
        <v>378</v>
      </c>
      <c r="C212" s="12">
        <v>-118239.8</v>
      </c>
      <c r="D212" s="12">
        <v>-227100</v>
      </c>
      <c r="E212" s="4">
        <v>-47.93</v>
      </c>
      <c r="F212" s="4">
        <v>52.07</v>
      </c>
      <c r="G212" s="12">
        <v>108860.2</v>
      </c>
      <c r="I212" s="28">
        <f t="shared" si="5"/>
        <v>-192600</v>
      </c>
      <c r="K212" s="29">
        <f>Administration!I218</f>
        <v>-5000</v>
      </c>
      <c r="L212" s="29">
        <f>Odense!I218</f>
        <v>0</v>
      </c>
      <c r="M212" s="29">
        <f>Laks!I218</f>
        <v>0</v>
      </c>
      <c r="N212" s="29">
        <f>Assens!I218</f>
        <v>0</v>
      </c>
      <c r="O212" s="29">
        <f>Nyborg!I218</f>
        <v>0</v>
      </c>
      <c r="P212" s="29">
        <f>Nordfyn!I218</f>
        <v>-18800</v>
      </c>
      <c r="Q212" s="29">
        <f>Kerteminde!I218</f>
        <v>-168800</v>
      </c>
      <c r="R212" s="29">
        <f>Særtilskud!I218</f>
        <v>0</v>
      </c>
    </row>
    <row r="213" spans="1:18" x14ac:dyDescent="0.25">
      <c r="A213" s="2" t="s">
        <v>12</v>
      </c>
      <c r="B213" s="2" t="s">
        <v>12</v>
      </c>
      <c r="I213" s="30"/>
      <c r="K213" s="24">
        <f>Administration!I219</f>
        <v>0</v>
      </c>
      <c r="L213" s="24">
        <f>Odense!I219</f>
        <v>0</v>
      </c>
      <c r="M213" s="24">
        <f>Laks!I219</f>
        <v>0</v>
      </c>
      <c r="N213" s="24">
        <f>Assens!I219</f>
        <v>0</v>
      </c>
      <c r="O213" s="24">
        <f>Nyborg!I219</f>
        <v>0</v>
      </c>
      <c r="P213" s="24">
        <f>Nordfyn!I219</f>
        <v>0</v>
      </c>
      <c r="Q213" s="24">
        <f>Kerteminde!I219</f>
        <v>0</v>
      </c>
      <c r="R213" s="24">
        <f>Særtilskud!I219</f>
        <v>0</v>
      </c>
    </row>
    <row r="214" spans="1:18" x14ac:dyDescent="0.25">
      <c r="A214" s="3" t="s">
        <v>379</v>
      </c>
      <c r="B214" s="3" t="s">
        <v>380</v>
      </c>
      <c r="C214" s="12"/>
      <c r="D214" s="12"/>
      <c r="E214" s="4"/>
      <c r="F214" s="4"/>
      <c r="G214" s="12"/>
      <c r="I214" s="28">
        <f t="shared" si="5"/>
        <v>0</v>
      </c>
      <c r="K214" s="29">
        <f>Administration!I220</f>
        <v>0</v>
      </c>
      <c r="L214" s="29">
        <f>Odense!I220</f>
        <v>0</v>
      </c>
      <c r="M214" s="29">
        <f>Laks!I220</f>
        <v>0</v>
      </c>
      <c r="N214" s="29">
        <f>Assens!I220</f>
        <v>0</v>
      </c>
      <c r="O214" s="29">
        <f>Nyborg!I220</f>
        <v>0</v>
      </c>
      <c r="P214" s="29">
        <f>Nordfyn!I220</f>
        <v>0</v>
      </c>
      <c r="Q214" s="29">
        <f>Kerteminde!I220</f>
        <v>0</v>
      </c>
      <c r="R214" s="29">
        <f>Særtilskud!I220</f>
        <v>0</v>
      </c>
    </row>
    <row r="215" spans="1:18" x14ac:dyDescent="0.25">
      <c r="A215" s="2" t="s">
        <v>381</v>
      </c>
      <c r="B215" s="2" t="s">
        <v>380</v>
      </c>
      <c r="I215" s="30">
        <f t="shared" si="5"/>
        <v>0</v>
      </c>
      <c r="K215" s="24">
        <f>Administration!I221</f>
        <v>0</v>
      </c>
      <c r="L215" s="24">
        <f>Odense!I221</f>
        <v>0</v>
      </c>
      <c r="M215" s="24">
        <f>Laks!I221</f>
        <v>0</v>
      </c>
      <c r="N215" s="24">
        <f>Assens!I221</f>
        <v>0</v>
      </c>
      <c r="O215" s="24">
        <f>Nyborg!I221</f>
        <v>0</v>
      </c>
      <c r="P215" s="24">
        <f>Nordfyn!I221</f>
        <v>0</v>
      </c>
      <c r="Q215" s="24">
        <f>Kerteminde!I221</f>
        <v>0</v>
      </c>
      <c r="R215" s="24">
        <f>Særtilskud!I221</f>
        <v>0</v>
      </c>
    </row>
    <row r="216" spans="1:18" x14ac:dyDescent="0.25">
      <c r="A216" s="3" t="s">
        <v>382</v>
      </c>
      <c r="B216" s="3" t="s">
        <v>383</v>
      </c>
      <c r="C216" s="12"/>
      <c r="D216" s="12"/>
      <c r="E216" s="4"/>
      <c r="F216" s="4"/>
      <c r="G216" s="12"/>
      <c r="I216" s="28">
        <f t="shared" si="5"/>
        <v>0</v>
      </c>
      <c r="K216" s="29">
        <f>Administration!I222</f>
        <v>0</v>
      </c>
      <c r="L216" s="29">
        <f>Odense!I222</f>
        <v>0</v>
      </c>
      <c r="M216" s="29">
        <f>Laks!I222</f>
        <v>0</v>
      </c>
      <c r="N216" s="29">
        <f>Assens!I222</f>
        <v>0</v>
      </c>
      <c r="O216" s="29">
        <f>Nyborg!I222</f>
        <v>0</v>
      </c>
      <c r="P216" s="29">
        <f>Nordfyn!I222</f>
        <v>0</v>
      </c>
      <c r="Q216" s="29">
        <f>Kerteminde!I222</f>
        <v>0</v>
      </c>
      <c r="R216" s="29">
        <f>Særtilskud!I222</f>
        <v>0</v>
      </c>
    </row>
    <row r="217" spans="1:18" x14ac:dyDescent="0.25">
      <c r="A217" s="2" t="s">
        <v>12</v>
      </c>
      <c r="B217" s="2" t="s">
        <v>12</v>
      </c>
      <c r="I217" s="30">
        <f t="shared" si="5"/>
        <v>0</v>
      </c>
      <c r="K217" s="24">
        <f>Administration!I223</f>
        <v>0</v>
      </c>
      <c r="L217" s="24">
        <f>Odense!I223</f>
        <v>0</v>
      </c>
      <c r="M217" s="24">
        <f>Laks!I223</f>
        <v>0</v>
      </c>
      <c r="N217" s="24">
        <f>Assens!I223</f>
        <v>0</v>
      </c>
      <c r="O217" s="24">
        <f>Nyborg!I223</f>
        <v>0</v>
      </c>
      <c r="P217" s="24">
        <f>Nordfyn!I223</f>
        <v>0</v>
      </c>
      <c r="Q217" s="24">
        <f>Kerteminde!I223</f>
        <v>0</v>
      </c>
      <c r="R217" s="24">
        <f>Særtilskud!I223</f>
        <v>0</v>
      </c>
    </row>
    <row r="218" spans="1:18" x14ac:dyDescent="0.25">
      <c r="A218" s="3" t="s">
        <v>384</v>
      </c>
      <c r="B218" s="3" t="s">
        <v>385</v>
      </c>
      <c r="C218" s="12"/>
      <c r="D218" s="12"/>
      <c r="E218" s="4"/>
      <c r="F218" s="4"/>
      <c r="G218" s="12"/>
      <c r="I218" s="28">
        <f t="shared" si="5"/>
        <v>0</v>
      </c>
      <c r="K218" s="29">
        <f>Administration!I224</f>
        <v>0</v>
      </c>
      <c r="L218" s="29">
        <f>Odense!I224</f>
        <v>0</v>
      </c>
      <c r="M218" s="29">
        <f>Laks!I224</f>
        <v>0</v>
      </c>
      <c r="N218" s="29">
        <f>Assens!I224</f>
        <v>0</v>
      </c>
      <c r="O218" s="29">
        <f>Nyborg!I224</f>
        <v>0</v>
      </c>
      <c r="P218" s="29">
        <f>Nordfyn!I224</f>
        <v>0</v>
      </c>
      <c r="Q218" s="29">
        <f>Kerteminde!I224</f>
        <v>0</v>
      </c>
      <c r="R218" s="29">
        <f>Særtilskud!I224</f>
        <v>0</v>
      </c>
    </row>
    <row r="219" spans="1:18" x14ac:dyDescent="0.25">
      <c r="A219" s="2" t="s">
        <v>386</v>
      </c>
      <c r="B219" s="2" t="s">
        <v>385</v>
      </c>
      <c r="I219" s="30">
        <f t="shared" si="5"/>
        <v>0</v>
      </c>
      <c r="K219" s="24">
        <f>Administration!I225</f>
        <v>0</v>
      </c>
      <c r="L219" s="24">
        <f>Odense!I225</f>
        <v>0</v>
      </c>
      <c r="M219" s="24">
        <f>Laks!I225</f>
        <v>0</v>
      </c>
      <c r="N219" s="24">
        <f>Assens!I225</f>
        <v>0</v>
      </c>
      <c r="O219" s="24">
        <f>Nyborg!I225</f>
        <v>0</v>
      </c>
      <c r="P219" s="24">
        <f>Nordfyn!I225</f>
        <v>0</v>
      </c>
      <c r="Q219" s="24">
        <f>Kerteminde!I225</f>
        <v>0</v>
      </c>
      <c r="R219" s="24">
        <f>Særtilskud!I225</f>
        <v>0</v>
      </c>
    </row>
    <row r="220" spans="1:18" x14ac:dyDescent="0.25">
      <c r="A220" s="3" t="s">
        <v>387</v>
      </c>
      <c r="B220" s="3" t="s">
        <v>388</v>
      </c>
      <c r="C220" s="12"/>
      <c r="D220" s="12"/>
      <c r="E220" s="4"/>
      <c r="F220" s="4"/>
      <c r="G220" s="12"/>
      <c r="I220" s="28">
        <f t="shared" si="5"/>
        <v>0</v>
      </c>
      <c r="K220" s="29">
        <f>Administration!I226</f>
        <v>0</v>
      </c>
      <c r="L220" s="29">
        <f>Odense!I226</f>
        <v>0</v>
      </c>
      <c r="M220" s="29">
        <f>Laks!I226</f>
        <v>0</v>
      </c>
      <c r="N220" s="29">
        <f>Assens!I226</f>
        <v>0</v>
      </c>
      <c r="O220" s="29">
        <f>Nyborg!I226</f>
        <v>0</v>
      </c>
      <c r="P220" s="29">
        <f>Nordfyn!I226</f>
        <v>0</v>
      </c>
      <c r="Q220" s="29">
        <f>Kerteminde!I226</f>
        <v>0</v>
      </c>
      <c r="R220" s="29">
        <f>Særtilskud!I226</f>
        <v>0</v>
      </c>
    </row>
    <row r="221" spans="1:18" x14ac:dyDescent="0.25">
      <c r="A221" s="2" t="s">
        <v>12</v>
      </c>
      <c r="B221" s="2" t="s">
        <v>12</v>
      </c>
      <c r="I221" s="30"/>
      <c r="K221" s="24">
        <f>Administration!I227</f>
        <v>0</v>
      </c>
      <c r="L221" s="24">
        <f>Odense!I227</f>
        <v>0</v>
      </c>
      <c r="M221" s="24">
        <f>Laks!I227</f>
        <v>0</v>
      </c>
      <c r="N221" s="24">
        <f>Assens!I227</f>
        <v>0</v>
      </c>
      <c r="O221" s="24">
        <f>Nyborg!I227</f>
        <v>0</v>
      </c>
      <c r="P221" s="24">
        <f>Nordfyn!I227</f>
        <v>0</v>
      </c>
      <c r="Q221" s="24">
        <f>Kerteminde!I227</f>
        <v>0</v>
      </c>
      <c r="R221" s="24">
        <f>Særtilskud!I227</f>
        <v>0</v>
      </c>
    </row>
    <row r="222" spans="1:18" ht="15.75" thickBot="1" x14ac:dyDescent="0.3">
      <c r="A222" s="5" t="s">
        <v>389</v>
      </c>
      <c r="B222" s="5" t="s">
        <v>390</v>
      </c>
      <c r="C222" s="13">
        <v>6003388.1100000003</v>
      </c>
      <c r="D222" s="13">
        <v>686822.24</v>
      </c>
      <c r="E222" s="6">
        <v>774.08</v>
      </c>
      <c r="F222" s="6">
        <v>874.08</v>
      </c>
      <c r="G222" s="13">
        <v>5316565.87</v>
      </c>
      <c r="I222" s="31">
        <f t="shared" si="5"/>
        <v>611090.62999999709</v>
      </c>
      <c r="K222" s="32">
        <f>Administration!I228</f>
        <v>22199.999999998137</v>
      </c>
      <c r="L222" s="32">
        <f>Odense!I228</f>
        <v>-4264533.8192999996</v>
      </c>
      <c r="M222" s="32">
        <f>Laks!I228</f>
        <v>-1306646.3659999999</v>
      </c>
      <c r="N222" s="32">
        <f>Assens!I228</f>
        <v>-1492081.3536</v>
      </c>
      <c r="O222" s="32">
        <f>Nyborg!I228</f>
        <v>-1356967.0226999996</v>
      </c>
      <c r="P222" s="32">
        <f>Nordfyn!I228</f>
        <v>-1041274.4848000007</v>
      </c>
      <c r="Q222" s="32">
        <f>Kerteminde!I228</f>
        <v>-1025806.3236000002</v>
      </c>
      <c r="R222" s="32">
        <f>Særtilskud!I228</f>
        <v>11076200</v>
      </c>
    </row>
    <row r="223" spans="1:18" ht="15.75" thickTop="1" x14ac:dyDescent="0.25">
      <c r="A223" s="2" t="s">
        <v>12</v>
      </c>
      <c r="B223" s="2" t="s">
        <v>12</v>
      </c>
      <c r="I223" s="30"/>
      <c r="K223" s="24">
        <f>Administration!I229</f>
        <v>0</v>
      </c>
      <c r="L223" s="24">
        <f>Odense!I229</f>
        <v>0</v>
      </c>
      <c r="M223" s="24">
        <f>Laks!I229</f>
        <v>0</v>
      </c>
      <c r="N223" s="24">
        <f>Assens!I229</f>
        <v>0</v>
      </c>
      <c r="O223" s="24">
        <f>Nyborg!I229</f>
        <v>0</v>
      </c>
      <c r="P223" s="24">
        <f>Nordfyn!I229</f>
        <v>0</v>
      </c>
      <c r="Q223" s="24">
        <f>Kerteminde!I229</f>
        <v>0</v>
      </c>
      <c r="R223" s="24">
        <f>Særtilskud!I229</f>
        <v>0</v>
      </c>
    </row>
    <row r="224" spans="1:18" x14ac:dyDescent="0.25">
      <c r="A224" s="3" t="s">
        <v>391</v>
      </c>
      <c r="B224" s="3" t="s">
        <v>392</v>
      </c>
      <c r="C224" s="12"/>
      <c r="D224" s="12"/>
      <c r="E224" s="4"/>
      <c r="F224" s="4"/>
      <c r="G224" s="12"/>
      <c r="I224" s="28">
        <f t="shared" si="5"/>
        <v>0</v>
      </c>
      <c r="K224" s="29">
        <f>Administration!I230</f>
        <v>0</v>
      </c>
      <c r="L224" s="29">
        <f>Odense!I230</f>
        <v>0</v>
      </c>
      <c r="M224" s="29">
        <f>Laks!I230</f>
        <v>0</v>
      </c>
      <c r="N224" s="29">
        <f>Assens!I230</f>
        <v>0</v>
      </c>
      <c r="O224" s="29">
        <f>Nyborg!I230</f>
        <v>0</v>
      </c>
      <c r="P224" s="29">
        <f>Nordfyn!I230</f>
        <v>0</v>
      </c>
      <c r="Q224" s="29">
        <f>Kerteminde!I230</f>
        <v>0</v>
      </c>
      <c r="R224" s="29">
        <f>Særtilskud!I230</f>
        <v>0</v>
      </c>
    </row>
    <row r="225" spans="1:18" x14ac:dyDescent="0.25">
      <c r="A225" s="2" t="s">
        <v>393</v>
      </c>
      <c r="B225" s="2" t="s">
        <v>394</v>
      </c>
      <c r="I225" s="30">
        <f t="shared" si="5"/>
        <v>0</v>
      </c>
      <c r="K225" s="24">
        <f>Administration!I231</f>
        <v>0</v>
      </c>
      <c r="L225" s="24">
        <f>Odense!I231</f>
        <v>0</v>
      </c>
      <c r="M225" s="24">
        <f>Laks!I231</f>
        <v>0</v>
      </c>
      <c r="N225" s="24">
        <f>Assens!I231</f>
        <v>0</v>
      </c>
      <c r="O225" s="24">
        <f>Nyborg!I231</f>
        <v>0</v>
      </c>
      <c r="P225" s="24">
        <f>Nordfyn!I231</f>
        <v>0</v>
      </c>
      <c r="Q225" s="24">
        <f>Kerteminde!I231</f>
        <v>0</v>
      </c>
      <c r="R225" s="24">
        <f>Særtilskud!I231</f>
        <v>0</v>
      </c>
    </row>
    <row r="226" spans="1:18" x14ac:dyDescent="0.25">
      <c r="A226" s="2" t="s">
        <v>395</v>
      </c>
      <c r="B226" s="2" t="s">
        <v>396</v>
      </c>
      <c r="I226" s="30">
        <f t="shared" si="5"/>
        <v>0</v>
      </c>
      <c r="K226" s="24">
        <f>Administration!I232</f>
        <v>0</v>
      </c>
      <c r="L226" s="24">
        <f>Odense!I232</f>
        <v>0</v>
      </c>
      <c r="M226" s="24">
        <f>Laks!I232</f>
        <v>0</v>
      </c>
      <c r="N226" s="24">
        <f>Assens!I232</f>
        <v>0</v>
      </c>
      <c r="O226" s="24">
        <f>Nyborg!I232</f>
        <v>0</v>
      </c>
      <c r="P226" s="24">
        <f>Nordfyn!I232</f>
        <v>0</v>
      </c>
      <c r="Q226" s="24">
        <f>Kerteminde!I232</f>
        <v>0</v>
      </c>
      <c r="R226" s="24">
        <f>Særtilskud!I232</f>
        <v>0</v>
      </c>
    </row>
    <row r="227" spans="1:18" x14ac:dyDescent="0.25">
      <c r="A227" s="2" t="s">
        <v>397</v>
      </c>
      <c r="B227" s="2" t="s">
        <v>398</v>
      </c>
      <c r="I227" s="30">
        <f t="shared" si="5"/>
        <v>0</v>
      </c>
      <c r="K227" s="24">
        <f>Administration!I233</f>
        <v>0</v>
      </c>
      <c r="L227" s="24">
        <f>Odense!I233</f>
        <v>0</v>
      </c>
      <c r="M227" s="24">
        <f>Laks!I233</f>
        <v>0</v>
      </c>
      <c r="N227" s="24">
        <f>Assens!I233</f>
        <v>0</v>
      </c>
      <c r="O227" s="24">
        <f>Nyborg!I233</f>
        <v>0</v>
      </c>
      <c r="P227" s="24">
        <f>Nordfyn!I233</f>
        <v>0</v>
      </c>
      <c r="Q227" s="24">
        <f>Kerteminde!I233</f>
        <v>0</v>
      </c>
      <c r="R227" s="24">
        <f>Særtilskud!I233</f>
        <v>0</v>
      </c>
    </row>
    <row r="228" spans="1:18" x14ac:dyDescent="0.25">
      <c r="A228" s="3" t="s">
        <v>399</v>
      </c>
      <c r="B228" s="3" t="s">
        <v>400</v>
      </c>
      <c r="C228" s="12"/>
      <c r="D228" s="12"/>
      <c r="E228" s="4"/>
      <c r="F228" s="4"/>
      <c r="G228" s="12"/>
      <c r="I228" s="28">
        <f t="shared" si="5"/>
        <v>0</v>
      </c>
      <c r="K228" s="29">
        <f>Administration!I234</f>
        <v>0</v>
      </c>
      <c r="L228" s="29">
        <f>Odense!I234</f>
        <v>0</v>
      </c>
      <c r="M228" s="29">
        <f>Laks!I234</f>
        <v>0</v>
      </c>
      <c r="N228" s="29">
        <f>Assens!I234</f>
        <v>0</v>
      </c>
      <c r="O228" s="29">
        <f>Nyborg!I234</f>
        <v>0</v>
      </c>
      <c r="P228" s="29">
        <f>Nordfyn!I234</f>
        <v>0</v>
      </c>
      <c r="Q228" s="29">
        <f>Kerteminde!I234</f>
        <v>0</v>
      </c>
      <c r="R228" s="29">
        <f>Særtilskud!I234</f>
        <v>0</v>
      </c>
    </row>
    <row r="229" spans="1:18" x14ac:dyDescent="0.25">
      <c r="A229" s="2" t="s">
        <v>12</v>
      </c>
      <c r="B229" s="2" t="s">
        <v>12</v>
      </c>
      <c r="I229" s="30"/>
      <c r="K229" s="24">
        <f>Administration!I235</f>
        <v>0</v>
      </c>
      <c r="L229" s="24">
        <f>Odense!I235</f>
        <v>0</v>
      </c>
      <c r="M229" s="24">
        <f>Laks!I235</f>
        <v>0</v>
      </c>
      <c r="N229" s="24">
        <f>Assens!I235</f>
        <v>0</v>
      </c>
      <c r="O229" s="24">
        <f>Nyborg!I235</f>
        <v>0</v>
      </c>
      <c r="P229" s="24">
        <f>Nordfyn!I235</f>
        <v>0</v>
      </c>
      <c r="Q229" s="24">
        <f>Kerteminde!I235</f>
        <v>0</v>
      </c>
      <c r="R229" s="24">
        <f>Særtilskud!I235</f>
        <v>0</v>
      </c>
    </row>
    <row r="230" spans="1:18" ht="15.75" thickBot="1" x14ac:dyDescent="0.3">
      <c r="A230" s="5" t="s">
        <v>12</v>
      </c>
      <c r="B230" s="5" t="s">
        <v>46</v>
      </c>
      <c r="C230" s="13">
        <v>6003388.1100000003</v>
      </c>
      <c r="D230" s="13">
        <v>686822.24</v>
      </c>
      <c r="E230" s="6">
        <v>774.08</v>
      </c>
      <c r="F230" s="6">
        <v>874.08</v>
      </c>
      <c r="G230" s="13">
        <v>5316565.87</v>
      </c>
      <c r="I230" s="31">
        <f t="shared" si="5"/>
        <v>611090.62999999709</v>
      </c>
      <c r="K230" s="32">
        <f>Administration!I236</f>
        <v>22199.999999998137</v>
      </c>
      <c r="L230" s="32">
        <f>Odense!I236</f>
        <v>-4264533.8192999996</v>
      </c>
      <c r="M230" s="32">
        <f>Laks!I236</f>
        <v>-1306646.3659999999</v>
      </c>
      <c r="N230" s="32">
        <f>Assens!I236</f>
        <v>-1492081.3536</v>
      </c>
      <c r="O230" s="32">
        <f>Nyborg!I236</f>
        <v>-1356967.0226999996</v>
      </c>
      <c r="P230" s="32">
        <f>Nordfyn!I236</f>
        <v>-1041274.4848000007</v>
      </c>
      <c r="Q230" s="32">
        <f>Kerteminde!I236</f>
        <v>-1025806.3236000002</v>
      </c>
      <c r="R230" s="32">
        <f>Særtilskud!I236</f>
        <v>11076200</v>
      </c>
    </row>
    <row r="231" spans="1:18" ht="15.75" thickTop="1" x14ac:dyDescent="0.25">
      <c r="A231" s="2" t="s">
        <v>12</v>
      </c>
      <c r="B231" s="2" t="s">
        <v>12</v>
      </c>
      <c r="I231" s="30"/>
      <c r="K231" s="24">
        <f>Administration!I237</f>
        <v>0</v>
      </c>
      <c r="L231" s="24">
        <f>Odense!I237</f>
        <v>0</v>
      </c>
      <c r="M231" s="24">
        <f>Laks!I237</f>
        <v>0</v>
      </c>
      <c r="N231" s="24">
        <f>Assens!I237</f>
        <v>0</v>
      </c>
      <c r="O231" s="24">
        <f>Nyborg!I237</f>
        <v>0</v>
      </c>
      <c r="P231" s="24">
        <f>Nordfyn!I237</f>
        <v>0</v>
      </c>
      <c r="Q231" s="24">
        <f>Kerteminde!I237</f>
        <v>0</v>
      </c>
      <c r="R231" s="24">
        <f>Særtilskud!I237</f>
        <v>0</v>
      </c>
    </row>
    <row r="232" spans="1:18" x14ac:dyDescent="0.25">
      <c r="A232" s="2" t="s">
        <v>401</v>
      </c>
      <c r="B232" s="2" t="s">
        <v>402</v>
      </c>
      <c r="I232" s="30">
        <f t="shared" si="5"/>
        <v>0</v>
      </c>
      <c r="K232" s="24">
        <f>Administration!I238</f>
        <v>0</v>
      </c>
      <c r="L232" s="24">
        <f>Odense!I238</f>
        <v>0</v>
      </c>
      <c r="M232" s="24">
        <f>Laks!I238</f>
        <v>0</v>
      </c>
      <c r="N232" s="24">
        <f>Assens!I238</f>
        <v>0</v>
      </c>
      <c r="O232" s="24">
        <f>Nyborg!I238</f>
        <v>0</v>
      </c>
      <c r="P232" s="24">
        <f>Nordfyn!I238</f>
        <v>0</v>
      </c>
      <c r="Q232" s="24">
        <f>Kerteminde!I238</f>
        <v>0</v>
      </c>
      <c r="R232" s="24">
        <f>Særtilskud!I238</f>
        <v>0</v>
      </c>
    </row>
    <row r="233" spans="1:18" x14ac:dyDescent="0.25">
      <c r="A233" s="2" t="s">
        <v>403</v>
      </c>
      <c r="B233" s="2" t="s">
        <v>404</v>
      </c>
      <c r="C233" s="10">
        <v>85929.24</v>
      </c>
      <c r="G233" s="10">
        <v>85929.24</v>
      </c>
      <c r="I233" s="30">
        <f t="shared" si="5"/>
        <v>171858.49</v>
      </c>
      <c r="K233" s="24">
        <f>Administration!I239</f>
        <v>0</v>
      </c>
      <c r="L233" s="24">
        <f>Odense!I239</f>
        <v>0</v>
      </c>
      <c r="M233" s="24">
        <f>Laks!I239</f>
        <v>0</v>
      </c>
      <c r="N233" s="24">
        <f>Assens!I239</f>
        <v>0</v>
      </c>
      <c r="O233" s="24">
        <f>Nyborg!I239</f>
        <v>0</v>
      </c>
      <c r="P233" s="24">
        <f>Nordfyn!I239</f>
        <v>0</v>
      </c>
      <c r="Q233" s="24">
        <f>Kerteminde!I239</f>
        <v>171858.49</v>
      </c>
      <c r="R233" s="24">
        <f>Særtilskud!I239</f>
        <v>0</v>
      </c>
    </row>
    <row r="234" spans="1:18" x14ac:dyDescent="0.25">
      <c r="A234" s="2" t="s">
        <v>405</v>
      </c>
      <c r="B234" s="2" t="s">
        <v>406</v>
      </c>
      <c r="C234" s="10">
        <v>-1180840.58</v>
      </c>
      <c r="D234" s="10">
        <v>-2734907.13</v>
      </c>
      <c r="E234">
        <v>-56.82</v>
      </c>
      <c r="F234">
        <v>43.18</v>
      </c>
      <c r="G234" s="10">
        <v>1554066.55</v>
      </c>
      <c r="H234" s="36">
        <v>1</v>
      </c>
      <c r="I234" s="30">
        <f t="shared" si="5"/>
        <v>-1930705.82</v>
      </c>
      <c r="K234" s="24">
        <f>Administration!I240</f>
        <v>-22200</v>
      </c>
      <c r="L234" s="24">
        <f>Odense!I240</f>
        <v>-742730.58</v>
      </c>
      <c r="M234" s="24">
        <f>Laks!I240</f>
        <v>-906.4</v>
      </c>
      <c r="N234" s="24">
        <f>Assens!I240</f>
        <v>-309360.44</v>
      </c>
      <c r="O234" s="24">
        <f>Nyborg!I240</f>
        <v>-148000</v>
      </c>
      <c r="P234" s="24">
        <f>Nordfyn!I240</f>
        <v>-352681.59</v>
      </c>
      <c r="Q234" s="24">
        <f>Kerteminde!I240</f>
        <v>-354826.81</v>
      </c>
      <c r="R234" s="24">
        <f>Særtilskud!I240</f>
        <v>0</v>
      </c>
    </row>
    <row r="235" spans="1:18" x14ac:dyDescent="0.25">
      <c r="A235" s="2" t="s">
        <v>407</v>
      </c>
      <c r="B235" s="2" t="s">
        <v>408</v>
      </c>
      <c r="I235" s="30">
        <f t="shared" si="5"/>
        <v>0</v>
      </c>
      <c r="K235" s="24">
        <f>Administration!I241</f>
        <v>0</v>
      </c>
      <c r="L235" s="24">
        <f>Odense!I241</f>
        <v>0</v>
      </c>
      <c r="M235" s="24">
        <f>Laks!I241</f>
        <v>0</v>
      </c>
      <c r="N235" s="24">
        <f>Assens!I241</f>
        <v>0</v>
      </c>
      <c r="O235" s="24">
        <f>Nyborg!I241</f>
        <v>0</v>
      </c>
      <c r="P235" s="24">
        <f>Nordfyn!I241</f>
        <v>0</v>
      </c>
      <c r="Q235" s="24">
        <f>Kerteminde!I241</f>
        <v>0</v>
      </c>
      <c r="R235" s="24">
        <f>Særtilskud!I241</f>
        <v>0</v>
      </c>
    </row>
    <row r="236" spans="1:18" x14ac:dyDescent="0.25">
      <c r="A236" s="3" t="s">
        <v>409</v>
      </c>
      <c r="B236" s="3" t="s">
        <v>410</v>
      </c>
      <c r="C236" s="12">
        <v>-1094911.3400000001</v>
      </c>
      <c r="D236" s="12">
        <v>-2734907.13</v>
      </c>
      <c r="E236" s="4">
        <v>-59.97</v>
      </c>
      <c r="F236" s="4">
        <v>40.03</v>
      </c>
      <c r="G236" s="12">
        <v>1639995.79</v>
      </c>
      <c r="I236" s="28">
        <f t="shared" si="5"/>
        <v>-1758847.33</v>
      </c>
      <c r="K236" s="29">
        <f>Administration!I242</f>
        <v>-22200</v>
      </c>
      <c r="L236" s="29">
        <f>Odense!I242</f>
        <v>-742730.58</v>
      </c>
      <c r="M236" s="29">
        <f>Laks!I242</f>
        <v>-906.4</v>
      </c>
      <c r="N236" s="29">
        <f>Assens!I242</f>
        <v>-309360.44</v>
      </c>
      <c r="O236" s="29">
        <f>Nyborg!I242</f>
        <v>-148000</v>
      </c>
      <c r="P236" s="29">
        <f>Nordfyn!I242</f>
        <v>-352681.59</v>
      </c>
      <c r="Q236" s="29">
        <f>Kerteminde!I242</f>
        <v>-182968.32000000001</v>
      </c>
      <c r="R236" s="29">
        <f>Særtilskud!I242</f>
        <v>0</v>
      </c>
    </row>
    <row r="237" spans="1:18" x14ac:dyDescent="0.25">
      <c r="A237" s="2" t="s">
        <v>12</v>
      </c>
      <c r="B237" s="2" t="s">
        <v>12</v>
      </c>
      <c r="I237" s="30"/>
      <c r="K237" s="24">
        <f>Administration!I243</f>
        <v>0</v>
      </c>
      <c r="L237" s="24">
        <f>Odense!I243</f>
        <v>0</v>
      </c>
      <c r="M237" s="24">
        <f>Laks!I243</f>
        <v>0</v>
      </c>
      <c r="N237" s="24">
        <f>Assens!I243</f>
        <v>0</v>
      </c>
      <c r="O237" s="24">
        <f>Nyborg!I243</f>
        <v>0</v>
      </c>
      <c r="P237" s="24">
        <f>Nordfyn!I243</f>
        <v>0</v>
      </c>
      <c r="Q237" s="24">
        <f>Kerteminde!I243</f>
        <v>0</v>
      </c>
      <c r="R237" s="24">
        <f>Særtilskud!I243</f>
        <v>0</v>
      </c>
    </row>
    <row r="238" spans="1:18" ht="15.75" thickBot="1" x14ac:dyDescent="0.3">
      <c r="A238" s="5" t="s">
        <v>411</v>
      </c>
      <c r="B238" s="5" t="s">
        <v>49</v>
      </c>
      <c r="C238" s="13">
        <v>4908476.7699999996</v>
      </c>
      <c r="D238" s="13">
        <v>-2048084.89</v>
      </c>
      <c r="E238" s="6">
        <v>-339.66</v>
      </c>
      <c r="F238" s="6">
        <v>-239.66</v>
      </c>
      <c r="G238" s="13">
        <v>6956561.6600000001</v>
      </c>
      <c r="I238" s="31">
        <f t="shared" si="5"/>
        <v>-1147756.700000003</v>
      </c>
      <c r="K238" s="32">
        <f>Administration!I244</f>
        <v>-1.862645149230957E-9</v>
      </c>
      <c r="L238" s="32">
        <f>Odense!I244</f>
        <v>-5007264.3992999997</v>
      </c>
      <c r="M238" s="32">
        <f>Laks!I244</f>
        <v>-1307552.7659999998</v>
      </c>
      <c r="N238" s="32">
        <f>Assens!I244</f>
        <v>-1801441.7936</v>
      </c>
      <c r="O238" s="32">
        <f>Nyborg!I244</f>
        <v>-1504967.0226999996</v>
      </c>
      <c r="P238" s="32">
        <f>Nordfyn!I244</f>
        <v>-1393956.0748000008</v>
      </c>
      <c r="Q238" s="32">
        <f>Kerteminde!I244</f>
        <v>-1208774.6436000003</v>
      </c>
      <c r="R238" s="32">
        <f>Særtilskud!I244</f>
        <v>11076200</v>
      </c>
    </row>
    <row r="239" spans="1:18" ht="15.75" thickTop="1" x14ac:dyDescent="0.25"/>
    <row r="241" spans="7:9" x14ac:dyDescent="0.25">
      <c r="G241" s="10" t="s">
        <v>428</v>
      </c>
      <c r="I241" s="24">
        <f>Administration!I244+Odense!I244+Laks!I244+Assens!I244+Nyborg!I244+Nordfyn!I244+Kerteminde!I244+Særtilskud!I244</f>
        <v>-1147756.700000003</v>
      </c>
    </row>
  </sheetData>
  <sheetProtection algorithmName="SHA-512" hashValue="TBn3/ByhMftBVGtq+wm8LDTrYwEvkIYsEN7F5j/CaHZBoFb1SNSLm6AYWTDSM2F6akS3daiGBDBmY9GrTD00nA==" saltValue="N0ArmUrksx9E34n5Z4xUc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BB825-3E9A-4151-BC6B-6151BBAA220A}">
  <dimension ref="A1:P32"/>
  <sheetViews>
    <sheetView zoomScale="80" zoomScaleNormal="80" workbookViewId="0">
      <selection activeCell="O29" sqref="O29"/>
    </sheetView>
  </sheetViews>
  <sheetFormatPr defaultRowHeight="15" x14ac:dyDescent="0.25"/>
  <cols>
    <col min="1" max="1" width="17.7109375" bestFit="1" customWidth="1"/>
    <col min="2" max="2" width="48.7109375" customWidth="1"/>
    <col min="3" max="4" width="14.28515625" style="10" hidden="1" customWidth="1"/>
    <col min="5" max="5" width="10.28515625" hidden="1" customWidth="1"/>
    <col min="6" max="6" width="19.42578125" hidden="1" customWidth="1"/>
    <col min="7" max="7" width="14.28515625" style="10" hidden="1" customWidth="1"/>
    <col min="8" max="8" width="0.28515625" customWidth="1"/>
    <col min="9" max="11" width="18.42578125" style="10" bestFit="1" customWidth="1"/>
    <col min="14" max="14" width="11" bestFit="1" customWidth="1"/>
    <col min="15" max="16" width="10.42578125" bestFit="1" customWidth="1"/>
  </cols>
  <sheetData>
    <row r="1" spans="1:11" x14ac:dyDescent="0.25">
      <c r="A1" s="4" t="s">
        <v>443</v>
      </c>
    </row>
    <row r="3" spans="1:11" x14ac:dyDescent="0.25">
      <c r="A3" s="4"/>
      <c r="I3" s="10" t="s">
        <v>442</v>
      </c>
      <c r="J3" s="10" t="s">
        <v>441</v>
      </c>
      <c r="K3" s="10" t="s">
        <v>440</v>
      </c>
    </row>
    <row r="4" spans="1:11" x14ac:dyDescent="0.25">
      <c r="A4" s="4"/>
    </row>
    <row r="5" spans="1:11" x14ac:dyDescent="0.25">
      <c r="C5" s="9" t="s">
        <v>7</v>
      </c>
      <c r="D5" s="9" t="s">
        <v>8</v>
      </c>
      <c r="E5" s="11" t="s">
        <v>9</v>
      </c>
      <c r="F5" s="11" t="s">
        <v>10</v>
      </c>
      <c r="G5" s="9" t="s">
        <v>11</v>
      </c>
      <c r="I5" s="9" t="s">
        <v>429</v>
      </c>
      <c r="J5" s="9" t="s">
        <v>429</v>
      </c>
      <c r="K5" s="9" t="s">
        <v>429</v>
      </c>
    </row>
    <row r="6" spans="1:11" x14ac:dyDescent="0.25">
      <c r="A6" s="3" t="s">
        <v>12</v>
      </c>
      <c r="B6" s="3" t="s">
        <v>13</v>
      </c>
      <c r="C6" s="12"/>
      <c r="D6" s="12"/>
      <c r="E6" s="4"/>
      <c r="F6" s="4"/>
      <c r="G6" s="12"/>
      <c r="I6" s="12"/>
      <c r="J6" s="12"/>
      <c r="K6" s="12"/>
    </row>
    <row r="7" spans="1:11" x14ac:dyDescent="0.25">
      <c r="A7" s="2" t="s">
        <v>14</v>
      </c>
      <c r="B7" s="2" t="s">
        <v>15</v>
      </c>
      <c r="C7" s="10">
        <v>37897303.840000004</v>
      </c>
      <c r="D7" s="10">
        <v>68770616</v>
      </c>
      <c r="E7">
        <v>-44.89</v>
      </c>
      <c r="F7">
        <v>55.11</v>
      </c>
      <c r="G7" s="10">
        <v>-30873312.16</v>
      </c>
      <c r="I7" s="38">
        <v>68054988</v>
      </c>
      <c r="J7" s="38">
        <f>67740348-43149778+41241958</f>
        <v>65832528</v>
      </c>
      <c r="K7" s="38">
        <f>67740348-43149778+45057598</f>
        <v>69648168</v>
      </c>
    </row>
    <row r="8" spans="1:11" x14ac:dyDescent="0.25">
      <c r="A8" s="2" t="s">
        <v>16</v>
      </c>
      <c r="B8" s="2" t="s">
        <v>17</v>
      </c>
      <c r="C8" s="10">
        <v>3703508.34</v>
      </c>
      <c r="D8" s="10">
        <v>4540912.0599999996</v>
      </c>
      <c r="E8">
        <v>-18.440000000000001</v>
      </c>
      <c r="F8">
        <v>81.56</v>
      </c>
      <c r="G8" s="10">
        <v>-837403.72</v>
      </c>
      <c r="I8" s="38">
        <v>4375605.38</v>
      </c>
      <c r="J8" s="38">
        <v>4375605.38</v>
      </c>
      <c r="K8" s="38">
        <v>4375605.38</v>
      </c>
    </row>
    <row r="9" spans="1:11" x14ac:dyDescent="0.25">
      <c r="A9" s="2" t="s">
        <v>18</v>
      </c>
      <c r="B9" s="2" t="s">
        <v>19</v>
      </c>
      <c r="C9" s="10">
        <v>219433.85</v>
      </c>
      <c r="D9" s="10">
        <v>574516.53</v>
      </c>
      <c r="E9">
        <v>-61.81</v>
      </c>
      <c r="F9">
        <v>38.19</v>
      </c>
      <c r="G9" s="10">
        <v>-355082.68</v>
      </c>
      <c r="I9" s="38">
        <v>527626.28</v>
      </c>
      <c r="J9" s="38">
        <v>527626.28</v>
      </c>
      <c r="K9" s="38">
        <v>527626.28</v>
      </c>
    </row>
    <row r="10" spans="1:11" x14ac:dyDescent="0.25">
      <c r="A10" s="3" t="s">
        <v>20</v>
      </c>
      <c r="B10" s="3" t="s">
        <v>21</v>
      </c>
      <c r="C10" s="12">
        <v>41820246.030000001</v>
      </c>
      <c r="D10" s="12">
        <v>73886044.590000004</v>
      </c>
      <c r="E10" s="4">
        <v>-43.4</v>
      </c>
      <c r="F10" s="4">
        <v>56.6</v>
      </c>
      <c r="G10" s="12">
        <v>-32065798.559999999</v>
      </c>
      <c r="I10" s="39">
        <f>SUM(I7:I9)</f>
        <v>72958219.659999996</v>
      </c>
      <c r="J10" s="39">
        <f>SUM(J7:J9)</f>
        <v>70735759.659999996</v>
      </c>
      <c r="K10" s="39">
        <f>SUM(K7:K9)</f>
        <v>74551399.659999996</v>
      </c>
    </row>
    <row r="11" spans="1:11" x14ac:dyDescent="0.25">
      <c r="A11" s="2" t="s">
        <v>12</v>
      </c>
      <c r="B11" s="2" t="s">
        <v>12</v>
      </c>
      <c r="I11" s="38"/>
      <c r="J11" s="38"/>
      <c r="K11" s="38"/>
    </row>
    <row r="12" spans="1:11" x14ac:dyDescent="0.25">
      <c r="A12" s="3" t="s">
        <v>12</v>
      </c>
      <c r="B12" s="3" t="s">
        <v>22</v>
      </c>
      <c r="C12" s="12"/>
      <c r="D12" s="12"/>
      <c r="E12" s="4"/>
      <c r="F12" s="4"/>
      <c r="G12" s="12"/>
      <c r="I12" s="39"/>
      <c r="J12" s="39"/>
      <c r="K12" s="39"/>
    </row>
    <row r="13" spans="1:11" x14ac:dyDescent="0.25">
      <c r="A13" s="2" t="s">
        <v>23</v>
      </c>
      <c r="B13" s="2" t="s">
        <v>103</v>
      </c>
      <c r="I13" s="38"/>
      <c r="J13" s="38"/>
      <c r="K13" s="38"/>
    </row>
    <row r="14" spans="1:11" x14ac:dyDescent="0.25">
      <c r="A14" s="2" t="s">
        <v>25</v>
      </c>
      <c r="B14" s="2" t="s">
        <v>26</v>
      </c>
      <c r="C14" s="10">
        <v>-98178.84</v>
      </c>
      <c r="D14" s="10">
        <v>-150111.81</v>
      </c>
      <c r="E14">
        <v>-34.6</v>
      </c>
      <c r="F14">
        <v>65.400000000000006</v>
      </c>
      <c r="G14" s="10">
        <v>51932.97</v>
      </c>
      <c r="I14" s="38">
        <v>-127325.48999999999</v>
      </c>
      <c r="J14" s="38">
        <v>-127325.48999999999</v>
      </c>
      <c r="K14" s="38">
        <v>-127325.48999999999</v>
      </c>
    </row>
    <row r="15" spans="1:11" x14ac:dyDescent="0.25">
      <c r="A15" s="2" t="s">
        <v>27</v>
      </c>
      <c r="B15" s="2" t="s">
        <v>28</v>
      </c>
      <c r="I15" s="38"/>
      <c r="J15" s="38"/>
      <c r="K15" s="38"/>
    </row>
    <row r="16" spans="1:11" x14ac:dyDescent="0.25">
      <c r="A16" s="2" t="s">
        <v>12</v>
      </c>
      <c r="B16" s="2" t="s">
        <v>12</v>
      </c>
      <c r="I16" s="38"/>
      <c r="J16" s="38"/>
      <c r="K16" s="38"/>
    </row>
    <row r="17" spans="1:16" x14ac:dyDescent="0.25">
      <c r="A17" s="2" t="s">
        <v>29</v>
      </c>
      <c r="B17" s="2" t="s">
        <v>30</v>
      </c>
      <c r="C17" s="10">
        <v>-26931338.690000001</v>
      </c>
      <c r="D17" s="10">
        <v>-47360744.409999996</v>
      </c>
      <c r="E17">
        <v>-43.14</v>
      </c>
      <c r="F17">
        <v>56.86</v>
      </c>
      <c r="G17" s="10">
        <v>20429405.719999999</v>
      </c>
      <c r="I17" s="38">
        <v>-46129114.93</v>
      </c>
      <c r="J17" s="38">
        <v>-46129114.93</v>
      </c>
      <c r="K17" s="38">
        <v>-46129114.93</v>
      </c>
    </row>
    <row r="18" spans="1:16" x14ac:dyDescent="0.25">
      <c r="A18" s="3" t="s">
        <v>31</v>
      </c>
      <c r="B18" s="3" t="s">
        <v>32</v>
      </c>
      <c r="C18" s="12">
        <v>-27029517.530000001</v>
      </c>
      <c r="D18" s="12">
        <v>-47510856.219999999</v>
      </c>
      <c r="E18" s="4">
        <v>-43.11</v>
      </c>
      <c r="F18" s="4">
        <v>56.89</v>
      </c>
      <c r="G18" s="12">
        <v>20481338.690000001</v>
      </c>
      <c r="I18" s="39">
        <f>I13+I14+I15+I17</f>
        <v>-46256440.420000002</v>
      </c>
      <c r="J18" s="39">
        <f>J13+J14+J15+J17</f>
        <v>-46256440.420000002</v>
      </c>
      <c r="K18" s="39">
        <f>K13+K14+K15+K17</f>
        <v>-46256440.420000002</v>
      </c>
      <c r="P18" s="41"/>
    </row>
    <row r="19" spans="1:16" x14ac:dyDescent="0.25">
      <c r="A19" s="2" t="s">
        <v>12</v>
      </c>
      <c r="B19" s="2" t="s">
        <v>12</v>
      </c>
      <c r="I19" s="38"/>
      <c r="J19" s="38"/>
      <c r="K19" s="38"/>
      <c r="O19" s="41"/>
    </row>
    <row r="20" spans="1:16" x14ac:dyDescent="0.25">
      <c r="A20" s="2" t="s">
        <v>33</v>
      </c>
      <c r="B20" s="2" t="s">
        <v>34</v>
      </c>
      <c r="C20" s="10">
        <v>576137.07999999996</v>
      </c>
      <c r="D20" s="10">
        <v>533570.23</v>
      </c>
      <c r="E20">
        <v>7.98</v>
      </c>
      <c r="F20">
        <v>107.98</v>
      </c>
      <c r="G20" s="10">
        <v>42566.85</v>
      </c>
      <c r="I20" s="38">
        <v>267000</v>
      </c>
      <c r="J20" s="38">
        <v>267000</v>
      </c>
      <c r="K20" s="38">
        <v>267000</v>
      </c>
      <c r="P20" s="41"/>
    </row>
    <row r="21" spans="1:16" x14ac:dyDescent="0.25">
      <c r="A21" s="2" t="s">
        <v>35</v>
      </c>
      <c r="B21" s="2" t="s">
        <v>36</v>
      </c>
      <c r="C21" s="10">
        <v>-9245267.3300000001</v>
      </c>
      <c r="D21" s="10">
        <v>-25994836.359999999</v>
      </c>
      <c r="E21">
        <v>-64.430000000000007</v>
      </c>
      <c r="F21">
        <v>35.57</v>
      </c>
      <c r="G21" s="10">
        <v>16749569.029999999</v>
      </c>
      <c r="I21" s="38">
        <v>-26165088.609999999</v>
      </c>
      <c r="J21" s="38">
        <v>-26165088.609999999</v>
      </c>
      <c r="K21" s="38">
        <v>-26165088.609999999</v>
      </c>
    </row>
    <row r="22" spans="1:16" x14ac:dyDescent="0.25">
      <c r="A22" s="2" t="s">
        <v>37</v>
      </c>
      <c r="B22" s="2" t="s">
        <v>38</v>
      </c>
      <c r="C22" s="10">
        <v>29.66</v>
      </c>
      <c r="G22" s="10">
        <v>29.66</v>
      </c>
      <c r="I22" s="38"/>
      <c r="J22" s="38"/>
      <c r="K22" s="38"/>
    </row>
    <row r="23" spans="1:16" x14ac:dyDescent="0.25">
      <c r="A23" s="2" t="s">
        <v>39</v>
      </c>
      <c r="B23" s="2" t="s">
        <v>40</v>
      </c>
      <c r="C23" s="10">
        <v>-118239.8</v>
      </c>
      <c r="D23" s="10">
        <v>-227100</v>
      </c>
      <c r="E23">
        <v>-47.93</v>
      </c>
      <c r="F23">
        <v>52.07</v>
      </c>
      <c r="G23" s="10">
        <v>108860.2</v>
      </c>
      <c r="I23" s="38">
        <v>-192600</v>
      </c>
      <c r="J23" s="38">
        <v>-192600</v>
      </c>
      <c r="K23" s="38">
        <v>-192600</v>
      </c>
    </row>
    <row r="24" spans="1:16" x14ac:dyDescent="0.25">
      <c r="A24" s="2" t="s">
        <v>41</v>
      </c>
      <c r="B24" s="2" t="s">
        <v>42</v>
      </c>
      <c r="I24" s="38"/>
      <c r="J24" s="38"/>
      <c r="K24" s="38"/>
    </row>
    <row r="25" spans="1:16" x14ac:dyDescent="0.25">
      <c r="A25" s="2" t="s">
        <v>43</v>
      </c>
      <c r="B25" s="2" t="s">
        <v>44</v>
      </c>
      <c r="I25" s="38"/>
      <c r="J25" s="38"/>
      <c r="K25" s="38"/>
    </row>
    <row r="26" spans="1:16" x14ac:dyDescent="0.25">
      <c r="A26" s="2" t="s">
        <v>12</v>
      </c>
      <c r="B26" s="2" t="s">
        <v>12</v>
      </c>
      <c r="I26" s="38"/>
      <c r="J26" s="38"/>
      <c r="K26" s="38"/>
    </row>
    <row r="27" spans="1:16" ht="15.75" thickBot="1" x14ac:dyDescent="0.3">
      <c r="A27" s="5" t="s">
        <v>45</v>
      </c>
      <c r="B27" s="5" t="s">
        <v>46</v>
      </c>
      <c r="C27" s="13">
        <v>6003388.1100000003</v>
      </c>
      <c r="D27" s="13">
        <v>686822.24</v>
      </c>
      <c r="E27" s="6">
        <v>774.08</v>
      </c>
      <c r="F27" s="6">
        <v>874.08</v>
      </c>
      <c r="G27" s="13">
        <v>5316565.87</v>
      </c>
      <c r="I27" s="40">
        <f>I10+I18+I20+I21+I22+I23+I24+I25</f>
        <v>611090.62999999523</v>
      </c>
      <c r="J27" s="40">
        <f>J10+J18+J20+J21+J22+J23+J24+J25</f>
        <v>-1611369.3700000048</v>
      </c>
      <c r="K27" s="40">
        <f>K10+K18+K20+K21+K22+K23+K24+K25</f>
        <v>2204270.6299999952</v>
      </c>
    </row>
    <row r="28" spans="1:16" ht="15.75" thickTop="1" x14ac:dyDescent="0.25">
      <c r="A28" s="2" t="s">
        <v>12</v>
      </c>
      <c r="B28" s="2" t="s">
        <v>12</v>
      </c>
      <c r="I28" s="38"/>
      <c r="J28" s="38"/>
      <c r="K28" s="38"/>
    </row>
    <row r="29" spans="1:16" x14ac:dyDescent="0.25">
      <c r="A29" s="2" t="s">
        <v>47</v>
      </c>
      <c r="B29" s="2" t="s">
        <v>48</v>
      </c>
      <c r="C29" s="10">
        <v>-1094911.3400000001</v>
      </c>
      <c r="D29" s="10">
        <v>-2734907.13</v>
      </c>
      <c r="E29">
        <v>-59.97</v>
      </c>
      <c r="F29">
        <v>40.03</v>
      </c>
      <c r="G29" s="10">
        <v>1639995.79</v>
      </c>
      <c r="I29" s="38">
        <v>-1758847.33</v>
      </c>
      <c r="J29" s="38">
        <v>-1758847.33</v>
      </c>
      <c r="K29" s="38">
        <v>-1758847.33</v>
      </c>
    </row>
    <row r="30" spans="1:16" x14ac:dyDescent="0.25">
      <c r="A30" s="2" t="s">
        <v>12</v>
      </c>
      <c r="B30" s="2" t="s">
        <v>12</v>
      </c>
      <c r="I30" s="38"/>
      <c r="J30" s="38"/>
      <c r="K30" s="38"/>
    </row>
    <row r="31" spans="1:16" ht="15.75" thickBot="1" x14ac:dyDescent="0.3">
      <c r="A31" s="5" t="s">
        <v>12</v>
      </c>
      <c r="B31" s="5" t="s">
        <v>49</v>
      </c>
      <c r="C31" s="13">
        <v>4908476.7699999996</v>
      </c>
      <c r="D31" s="13">
        <v>-2048084.89</v>
      </c>
      <c r="E31" s="6">
        <v>-339.66</v>
      </c>
      <c r="F31" s="6">
        <v>-239.66</v>
      </c>
      <c r="G31" s="13">
        <v>6956561.6600000001</v>
      </c>
      <c r="I31" s="40">
        <f>I27+I29</f>
        <v>-1147756.7000000048</v>
      </c>
      <c r="J31" s="40">
        <f>J27+J29</f>
        <v>-3370216.7000000048</v>
      </c>
      <c r="K31" s="40">
        <f>K27+K29</f>
        <v>445423.29999999516</v>
      </c>
    </row>
    <row r="32" spans="1:16" ht="15.75" thickTop="1" x14ac:dyDescent="0.25">
      <c r="A32" s="2" t="s">
        <v>12</v>
      </c>
      <c r="B32" s="2" t="s">
        <v>12</v>
      </c>
    </row>
  </sheetData>
  <sheetProtection algorithmName="SHA-512" hashValue="yGHeXvwH/argcQ45EJ7CIOhSXRll//+5ZngH3FeP1GJARpmdGhGoStjDV/AI/n9UFE/r4kYBPLOLvr6W1IqSlA==" saltValue="Zkp00J+QcfhM1uysMjpnA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4"/>
  <sheetViews>
    <sheetView topLeftCell="A68" workbookViewId="0">
      <selection activeCell="I168" sqref="I168"/>
    </sheetView>
  </sheetViews>
  <sheetFormatPr defaultRowHeight="15" x14ac:dyDescent="0.25"/>
  <cols>
    <col min="1" max="1" width="17.7109375" bestFit="1" customWidth="1"/>
    <col min="2" max="2" width="48.7109375" customWidth="1"/>
    <col min="3" max="3" width="13.28515625" style="14" hidden="1" customWidth="1"/>
    <col min="4" max="4" width="14.28515625" style="14" hidden="1" customWidth="1"/>
    <col min="5" max="5" width="10.28515625" hidden="1" customWidth="1"/>
    <col min="6" max="6" width="19.42578125" hidden="1" customWidth="1"/>
    <col min="7" max="7" width="14.28515625" style="14" hidden="1" customWidth="1"/>
    <col min="8" max="8" width="2.7109375" hidden="1" customWidth="1"/>
    <col min="9" max="9" width="14.28515625" style="14" bestFit="1" customWidth="1"/>
    <col min="13" max="13" width="11.5703125" bestFit="1" customWidth="1"/>
    <col min="15" max="15" width="11.7109375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413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1151355</v>
      </c>
      <c r="D10" s="14">
        <v>2226850</v>
      </c>
      <c r="E10">
        <v>-48.3</v>
      </c>
      <c r="F10">
        <v>51.7</v>
      </c>
      <c r="G10" s="14">
        <v>-1075495</v>
      </c>
      <c r="I10" s="14">
        <f>I45</f>
        <v>2382510</v>
      </c>
    </row>
    <row r="11" spans="1:9" x14ac:dyDescent="0.25">
      <c r="A11" s="2" t="s">
        <v>16</v>
      </c>
      <c r="B11" s="2" t="s">
        <v>17</v>
      </c>
      <c r="C11" s="14">
        <v>39826.01</v>
      </c>
      <c r="G11" s="14">
        <v>39826.01</v>
      </c>
      <c r="I11" s="14">
        <f>I58</f>
        <v>30760</v>
      </c>
    </row>
    <row r="12" spans="1:9" x14ac:dyDescent="0.25">
      <c r="A12" s="2" t="s">
        <v>18</v>
      </c>
      <c r="B12" s="2" t="s">
        <v>19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1191181.01</v>
      </c>
      <c r="D13" s="15">
        <v>2226850</v>
      </c>
      <c r="E13" s="4">
        <v>-46.51</v>
      </c>
      <c r="F13" s="4">
        <v>53.49</v>
      </c>
      <c r="G13" s="15">
        <v>-1035668.99</v>
      </c>
      <c r="I13" s="15">
        <f>SUM(I10:I12)</f>
        <v>2413270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C17" s="14">
        <v>-5039</v>
      </c>
      <c r="G17" s="14">
        <v>-5039</v>
      </c>
      <c r="I17" s="14">
        <f>I76</f>
        <v>12600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-5099211.1100000003</v>
      </c>
      <c r="D20" s="14">
        <v>-5811738.5899999999</v>
      </c>
      <c r="E20">
        <v>-12.26</v>
      </c>
      <c r="F20">
        <v>87.74</v>
      </c>
      <c r="G20" s="14">
        <v>712527.48</v>
      </c>
      <c r="I20" s="14">
        <f>I122</f>
        <v>-7625168.4000000004</v>
      </c>
    </row>
    <row r="21" spans="1:9" x14ac:dyDescent="0.25">
      <c r="A21" s="3" t="s">
        <v>31</v>
      </c>
      <c r="B21" s="3" t="s">
        <v>32</v>
      </c>
      <c r="C21" s="15">
        <v>-5104250.1100000003</v>
      </c>
      <c r="D21" s="15">
        <v>-5811738.5899999999</v>
      </c>
      <c r="E21" s="4">
        <v>-12.17</v>
      </c>
      <c r="F21" s="4">
        <v>87.83</v>
      </c>
      <c r="G21" s="15">
        <v>707488.48</v>
      </c>
      <c r="I21" s="15">
        <f>I20+I18+I17+I16</f>
        <v>-7612568.4000000004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C23" s="14">
        <v>458990.94</v>
      </c>
      <c r="D23" s="14">
        <v>42639.97</v>
      </c>
      <c r="E23">
        <v>976.43</v>
      </c>
      <c r="F23">
        <v>1076.43</v>
      </c>
      <c r="G23" s="14">
        <v>416350.97</v>
      </c>
      <c r="I23" s="14">
        <f>I135</f>
        <v>0</v>
      </c>
    </row>
    <row r="24" spans="1:9" x14ac:dyDescent="0.25">
      <c r="A24" s="2" t="s">
        <v>35</v>
      </c>
      <c r="B24" s="2" t="s">
        <v>36</v>
      </c>
      <c r="C24" s="14">
        <v>1728156.38</v>
      </c>
      <c r="D24" s="14">
        <v>3553348.62</v>
      </c>
      <c r="E24">
        <v>-51.37</v>
      </c>
      <c r="F24">
        <v>48.63</v>
      </c>
      <c r="G24" s="14">
        <v>-1825192.24</v>
      </c>
      <c r="I24" s="14">
        <f>I197</f>
        <v>5226498.3999999985</v>
      </c>
    </row>
    <row r="25" spans="1:9" x14ac:dyDescent="0.25">
      <c r="A25" s="2" t="s">
        <v>37</v>
      </c>
      <c r="B25" s="2" t="s">
        <v>38</v>
      </c>
      <c r="C25" s="14">
        <v>29.66</v>
      </c>
      <c r="G25" s="14">
        <v>29.66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C26" s="14">
        <v>-11070.75</v>
      </c>
      <c r="D26" s="14">
        <v>-11100</v>
      </c>
      <c r="E26">
        <v>-0.26</v>
      </c>
      <c r="F26">
        <v>99.74</v>
      </c>
      <c r="G26" s="14">
        <v>29.25</v>
      </c>
      <c r="I26" s="14">
        <f>I218</f>
        <v>-5000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-1736962.87</v>
      </c>
      <c r="D30" s="16"/>
      <c r="E30" s="6"/>
      <c r="F30" s="6"/>
      <c r="G30" s="16">
        <v>-1736962.87</v>
      </c>
      <c r="I30" s="16">
        <f>I13+I21+I23+I24+I25+I26+I27+I28</f>
        <v>22199.999999998137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I32" s="14">
        <f>I242</f>
        <v>-22200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-1736962.87</v>
      </c>
      <c r="D34" s="16"/>
      <c r="E34" s="6"/>
      <c r="F34" s="6"/>
      <c r="G34" s="16">
        <v>-1736962.87</v>
      </c>
      <c r="I34" s="16">
        <f>I30+I32</f>
        <v>-1.862645149230957E-9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</row>
    <row r="40" spans="1:9" x14ac:dyDescent="0.25">
      <c r="A40" s="2" t="s">
        <v>55</v>
      </c>
      <c r="B40" s="2" t="s">
        <v>56</v>
      </c>
    </row>
    <row r="41" spans="1:9" x14ac:dyDescent="0.25">
      <c r="A41" s="2" t="s">
        <v>57</v>
      </c>
      <c r="B41" s="2" t="s">
        <v>58</v>
      </c>
    </row>
    <row r="42" spans="1:9" x14ac:dyDescent="0.25">
      <c r="A42" s="2" t="s">
        <v>59</v>
      </c>
      <c r="B42" s="2" t="s">
        <v>60</v>
      </c>
    </row>
    <row r="43" spans="1:9" x14ac:dyDescent="0.25">
      <c r="A43" s="2" t="s">
        <v>61</v>
      </c>
      <c r="B43" s="2" t="s">
        <v>62</v>
      </c>
      <c r="C43" s="14">
        <v>1129010</v>
      </c>
      <c r="D43" s="14">
        <v>2226850</v>
      </c>
      <c r="E43">
        <v>-49.3</v>
      </c>
      <c r="F43">
        <v>50.7</v>
      </c>
      <c r="G43" s="14">
        <v>-1097840</v>
      </c>
      <c r="I43" s="14">
        <f>4267050-1884540</f>
        <v>2382510</v>
      </c>
    </row>
    <row r="44" spans="1:9" x14ac:dyDescent="0.25">
      <c r="A44" s="2" t="s">
        <v>63</v>
      </c>
      <c r="B44" s="2" t="s">
        <v>64</v>
      </c>
      <c r="C44" s="14">
        <v>22345</v>
      </c>
      <c r="G44" s="14">
        <v>22345</v>
      </c>
    </row>
    <row r="45" spans="1:9" x14ac:dyDescent="0.25">
      <c r="A45" s="3" t="s">
        <v>65</v>
      </c>
      <c r="B45" s="3" t="s">
        <v>66</v>
      </c>
      <c r="C45" s="15">
        <v>1151355</v>
      </c>
      <c r="D45" s="15">
        <v>2226850</v>
      </c>
      <c r="E45" s="4">
        <v>-48.3</v>
      </c>
      <c r="F45" s="4">
        <v>51.7</v>
      </c>
      <c r="G45" s="15">
        <v>-1075495</v>
      </c>
      <c r="I45" s="15">
        <f>SUM(I39:I44)</f>
        <v>2382510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</row>
    <row r="52" spans="1:9" x14ac:dyDescent="0.25">
      <c r="A52" s="2" t="s">
        <v>77</v>
      </c>
      <c r="B52" s="2" t="s">
        <v>78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</row>
    <row r="55" spans="1:9" x14ac:dyDescent="0.25">
      <c r="A55" s="2" t="s">
        <v>83</v>
      </c>
      <c r="B55" s="2" t="s">
        <v>84</v>
      </c>
      <c r="C55" s="14">
        <v>30760</v>
      </c>
      <c r="G55" s="14">
        <v>30760</v>
      </c>
      <c r="I55" s="14">
        <v>30760</v>
      </c>
    </row>
    <row r="56" spans="1:9" x14ac:dyDescent="0.25">
      <c r="A56" s="2" t="s">
        <v>85</v>
      </c>
      <c r="B56" s="2" t="s">
        <v>86</v>
      </c>
      <c r="C56" s="14">
        <v>6960</v>
      </c>
      <c r="G56" s="14">
        <v>6960</v>
      </c>
    </row>
    <row r="57" spans="1:9" x14ac:dyDescent="0.25">
      <c r="A57" s="2" t="s">
        <v>87</v>
      </c>
      <c r="B57" s="2" t="s">
        <v>88</v>
      </c>
      <c r="C57" s="14">
        <v>2106.0100000000002</v>
      </c>
      <c r="G57" s="14">
        <v>2106.0100000000002</v>
      </c>
    </row>
    <row r="58" spans="1:9" x14ac:dyDescent="0.25">
      <c r="A58" s="3" t="s">
        <v>89</v>
      </c>
      <c r="B58" s="3" t="s">
        <v>17</v>
      </c>
      <c r="C58" s="15">
        <v>39826.01</v>
      </c>
      <c r="D58" s="15"/>
      <c r="E58" s="4"/>
      <c r="F58" s="4"/>
      <c r="G58" s="15">
        <v>39826.01</v>
      </c>
      <c r="I58" s="15">
        <f>SUM(I48:I57)</f>
        <v>30760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</row>
    <row r="62" spans="1:9" x14ac:dyDescent="0.25">
      <c r="A62" s="3" t="s">
        <v>94</v>
      </c>
      <c r="B62" s="3" t="s">
        <v>95</v>
      </c>
      <c r="C62" s="15"/>
      <c r="D62" s="15"/>
      <c r="E62" s="4"/>
      <c r="F62" s="4"/>
      <c r="G62" s="15"/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1191181.01</v>
      </c>
      <c r="D64" s="15">
        <v>2226850</v>
      </c>
      <c r="E64" s="4">
        <v>-46.51</v>
      </c>
      <c r="F64" s="4">
        <v>53.49</v>
      </c>
      <c r="G64" s="15">
        <v>-1035668.99</v>
      </c>
      <c r="I64" s="15">
        <f>I62+I58+I45</f>
        <v>2413270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  <c r="C75" s="14">
        <v>-5039</v>
      </c>
      <c r="G75" s="14">
        <v>-5039</v>
      </c>
      <c r="I75" s="14">
        <f>1050*12</f>
        <v>12600</v>
      </c>
    </row>
    <row r="76" spans="1:9" x14ac:dyDescent="0.25">
      <c r="A76" s="3" t="s">
        <v>116</v>
      </c>
      <c r="B76" s="3" t="s">
        <v>117</v>
      </c>
      <c r="C76" s="15">
        <v>-5039</v>
      </c>
      <c r="D76" s="15"/>
      <c r="E76" s="4"/>
      <c r="F76" s="4"/>
      <c r="G76" s="15">
        <v>-5039</v>
      </c>
      <c r="I76" s="15">
        <f>SUM(I72:I75)</f>
        <v>12600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C85" s="14">
        <v>-333885.59999999998</v>
      </c>
      <c r="D85" s="14">
        <v>-860000</v>
      </c>
      <c r="E85">
        <v>-61.18</v>
      </c>
      <c r="F85">
        <v>38.82</v>
      </c>
      <c r="G85" s="14">
        <v>526114.4</v>
      </c>
      <c r="I85" s="14">
        <f>-150000*4</f>
        <v>-600000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-3766247.67</v>
      </c>
      <c r="D89" s="14">
        <v>-6591351.7000000002</v>
      </c>
      <c r="E89">
        <v>-42.86</v>
      </c>
      <c r="F89">
        <v>57.14</v>
      </c>
      <c r="G89" s="14">
        <v>2825104.03</v>
      </c>
      <c r="I89" s="14">
        <v>-7945733.96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C93" s="14">
        <v>-184583.12</v>
      </c>
      <c r="G93" s="14">
        <v>-184583.12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1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1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1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1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1" x14ac:dyDescent="0.25">
      <c r="A101" s="2" t="s">
        <v>161</v>
      </c>
      <c r="B101" s="2" t="s">
        <v>162</v>
      </c>
      <c r="C101" s="14">
        <v>-19759.669999999998</v>
      </c>
      <c r="D101" s="14">
        <v>-80000</v>
      </c>
      <c r="E101">
        <v>-75.3</v>
      </c>
      <c r="F101">
        <v>24.7</v>
      </c>
      <c r="G101" s="14">
        <v>60240.33</v>
      </c>
      <c r="K101" t="str">
        <f t="shared" si="0"/>
        <v xml:space="preserve"> </v>
      </c>
    </row>
    <row r="102" spans="1:11" x14ac:dyDescent="0.25">
      <c r="A102" s="2" t="s">
        <v>163</v>
      </c>
      <c r="B102" s="2" t="s">
        <v>164</v>
      </c>
      <c r="C102" s="14">
        <v>-41058.1</v>
      </c>
      <c r="D102" s="14">
        <v>-100000</v>
      </c>
      <c r="E102">
        <v>-58.94</v>
      </c>
      <c r="F102">
        <v>41.06</v>
      </c>
      <c r="G102" s="14">
        <v>58941.9</v>
      </c>
      <c r="I102" s="14">
        <v>-100000</v>
      </c>
      <c r="K102" t="str">
        <f t="shared" si="0"/>
        <v xml:space="preserve"> </v>
      </c>
    </row>
    <row r="103" spans="1:11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1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1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1" x14ac:dyDescent="0.25">
      <c r="A106" s="3" t="s">
        <v>171</v>
      </c>
      <c r="B106" s="3" t="s">
        <v>172</v>
      </c>
      <c r="C106" s="15">
        <v>-4345534.16</v>
      </c>
      <c r="D106" s="15">
        <v>-7631351.7000000002</v>
      </c>
      <c r="E106" s="4">
        <v>-43.06</v>
      </c>
      <c r="F106" s="4">
        <v>56.94</v>
      </c>
      <c r="G106" s="15">
        <v>3285817.54</v>
      </c>
      <c r="I106" s="15">
        <f>SUM(I84:I105)</f>
        <v>-8645733.9600000009</v>
      </c>
      <c r="K106" t="str">
        <f t="shared" si="0"/>
        <v xml:space="preserve"> </v>
      </c>
    </row>
    <row r="107" spans="1:11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1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1" x14ac:dyDescent="0.25">
      <c r="A109" s="2" t="s">
        <v>175</v>
      </c>
      <c r="B109" s="2" t="s">
        <v>174</v>
      </c>
      <c r="C109" s="14">
        <v>-614998.29</v>
      </c>
      <c r="D109" s="14">
        <v>-1378843.83</v>
      </c>
      <c r="E109">
        <v>-55.4</v>
      </c>
      <c r="F109">
        <v>44.6</v>
      </c>
      <c r="G109" s="14">
        <v>763845.54</v>
      </c>
      <c r="I109" s="14">
        <v>0</v>
      </c>
      <c r="K109" t="str">
        <f t="shared" si="0"/>
        <v xml:space="preserve"> </v>
      </c>
    </row>
    <row r="110" spans="1:11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1" x14ac:dyDescent="0.25">
      <c r="A111" s="3" t="s">
        <v>178</v>
      </c>
      <c r="B111" s="3" t="s">
        <v>179</v>
      </c>
      <c r="C111" s="15">
        <v>-614998.29</v>
      </c>
      <c r="D111" s="15">
        <v>-1378843.83</v>
      </c>
      <c r="E111" s="4">
        <v>-55.4</v>
      </c>
      <c r="F111" s="4">
        <v>44.6</v>
      </c>
      <c r="G111" s="15">
        <v>763845.54</v>
      </c>
      <c r="I111" s="15">
        <f>I110+I109</f>
        <v>0</v>
      </c>
      <c r="K111" t="str">
        <f t="shared" si="0"/>
        <v xml:space="preserve"> </v>
      </c>
    </row>
    <row r="112" spans="1:11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-200514.78</v>
      </c>
      <c r="D114" s="14">
        <v>3098706.42</v>
      </c>
      <c r="E114">
        <v>-106.47</v>
      </c>
      <c r="F114">
        <v>-6.47</v>
      </c>
      <c r="G114" s="14">
        <v>-3299221.2</v>
      </c>
      <c r="I114" s="14">
        <v>1020565.56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48642</v>
      </c>
      <c r="G115" s="14">
        <v>48642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D117" s="14">
        <v>5757.21</v>
      </c>
      <c r="E117">
        <v>-100</v>
      </c>
      <c r="G117" s="14">
        <v>-5757.21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D119" s="14">
        <v>93993.31</v>
      </c>
      <c r="E119">
        <v>-100</v>
      </c>
      <c r="G119" s="14">
        <v>-93993.31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C120" s="14">
        <v>13194.12</v>
      </c>
      <c r="G120" s="14">
        <v>13194.12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-138678.66</v>
      </c>
      <c r="D121" s="15">
        <v>3198456.94</v>
      </c>
      <c r="E121" s="4">
        <v>-104.34</v>
      </c>
      <c r="F121" s="4">
        <v>-4.34</v>
      </c>
      <c r="G121" s="15">
        <v>-3337135.6</v>
      </c>
      <c r="I121" s="15">
        <f>SUM(I114:I120)</f>
        <v>1020565.56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-5099211.1100000003</v>
      </c>
      <c r="D122" s="15">
        <v>-5811738.5899999999</v>
      </c>
      <c r="E122" s="4">
        <v>-12.26</v>
      </c>
      <c r="F122" s="4">
        <v>87.74</v>
      </c>
      <c r="G122" s="15">
        <v>712527.48</v>
      </c>
      <c r="I122" s="15">
        <f>I121+I111+I106</f>
        <v>-7625168.4000000004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-5104250.1100000003</v>
      </c>
      <c r="D124" s="15">
        <v>-5811738.5899999999</v>
      </c>
      <c r="E124" s="4">
        <v>-12.17</v>
      </c>
      <c r="F124" s="4">
        <v>87.83</v>
      </c>
      <c r="G124" s="15">
        <v>707488.48</v>
      </c>
      <c r="I124" s="15">
        <f>I122+I81+I76+I69</f>
        <v>-7612568.4000000004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-3913069.1</v>
      </c>
      <c r="D126" s="15">
        <v>-3584888.59</v>
      </c>
      <c r="E126" s="4">
        <v>9.15</v>
      </c>
      <c r="F126" s="4">
        <v>109.15</v>
      </c>
      <c r="G126" s="15">
        <v>-328180.51</v>
      </c>
      <c r="I126" s="15">
        <f>I64+I124</f>
        <v>-5199298.4000000004</v>
      </c>
      <c r="K126" t="str">
        <f t="shared" si="0"/>
        <v xml:space="preserve"> 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3" x14ac:dyDescent="0.25">
      <c r="A129" s="2" t="s">
        <v>206</v>
      </c>
      <c r="B129" s="2" t="s">
        <v>207</v>
      </c>
      <c r="C129" s="14">
        <v>45443.74</v>
      </c>
      <c r="D129" s="14">
        <v>42639.97</v>
      </c>
      <c r="E129">
        <v>6.58</v>
      </c>
      <c r="F129">
        <v>106.58</v>
      </c>
      <c r="G129" s="14">
        <v>2803.77</v>
      </c>
      <c r="I129" s="14">
        <v>0</v>
      </c>
      <c r="K129" t="str">
        <f t="shared" si="0"/>
        <v xml:space="preserve"> </v>
      </c>
    </row>
    <row r="130" spans="1:13" x14ac:dyDescent="0.25">
      <c r="A130" s="2" t="s">
        <v>208</v>
      </c>
      <c r="B130" s="2" t="s">
        <v>209</v>
      </c>
      <c r="C130" s="14">
        <v>413547.2</v>
      </c>
      <c r="G130" s="14">
        <v>413547.2</v>
      </c>
      <c r="K130" t="str">
        <f t="shared" si="0"/>
        <v xml:space="preserve"> </v>
      </c>
    </row>
    <row r="131" spans="1:13" x14ac:dyDescent="0.25">
      <c r="A131" s="2" t="s">
        <v>210</v>
      </c>
      <c r="B131" s="2" t="s">
        <v>211</v>
      </c>
      <c r="K131" t="str">
        <f t="shared" si="0"/>
        <v xml:space="preserve"> </v>
      </c>
    </row>
    <row r="132" spans="1:13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3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3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3" x14ac:dyDescent="0.25">
      <c r="A135" s="3" t="s">
        <v>218</v>
      </c>
      <c r="B135" s="3" t="s">
        <v>219</v>
      </c>
      <c r="C135" s="15">
        <v>458990.94</v>
      </c>
      <c r="D135" s="15">
        <v>42639.97</v>
      </c>
      <c r="E135" s="4">
        <v>976.43</v>
      </c>
      <c r="F135" s="4">
        <v>1076.43</v>
      </c>
      <c r="G135" s="15">
        <v>416350.97</v>
      </c>
      <c r="I135" s="15">
        <f>SUM(I129:I134)</f>
        <v>0</v>
      </c>
      <c r="K135" t="str">
        <f t="shared" si="0"/>
        <v xml:space="preserve"> </v>
      </c>
    </row>
    <row r="136" spans="1:13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3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3" x14ac:dyDescent="0.25">
      <c r="A138" s="2" t="s">
        <v>222</v>
      </c>
      <c r="B138" s="2" t="s">
        <v>223</v>
      </c>
      <c r="D138" s="14">
        <v>-2000000</v>
      </c>
      <c r="E138">
        <v>-100</v>
      </c>
      <c r="G138" s="14">
        <v>2000000</v>
      </c>
      <c r="I138" s="14">
        <v>-3500000</v>
      </c>
      <c r="K138" t="str">
        <f t="shared" si="0"/>
        <v xml:space="preserve"> </v>
      </c>
    </row>
    <row r="139" spans="1:13" x14ac:dyDescent="0.25">
      <c r="A139" s="2" t="s">
        <v>224</v>
      </c>
      <c r="B139" s="2" t="s">
        <v>225</v>
      </c>
      <c r="D139" s="14">
        <v>15880826.49</v>
      </c>
      <c r="E139">
        <v>-100</v>
      </c>
      <c r="G139" s="14">
        <v>-15880826.49</v>
      </c>
      <c r="I139" s="14">
        <f>17570533.4-80000</f>
        <v>17490533.399999999</v>
      </c>
      <c r="K139">
        <f t="shared" si="0"/>
        <v>1</v>
      </c>
      <c r="M139" s="21"/>
    </row>
    <row r="140" spans="1:13" x14ac:dyDescent="0.25">
      <c r="A140" s="2" t="s">
        <v>226</v>
      </c>
      <c r="B140" s="2" t="s">
        <v>227</v>
      </c>
      <c r="K140" t="str">
        <f t="shared" si="0"/>
        <v xml:space="preserve"> </v>
      </c>
    </row>
    <row r="141" spans="1:13" x14ac:dyDescent="0.25">
      <c r="A141" s="2" t="s">
        <v>228</v>
      </c>
      <c r="B141" s="2" t="s">
        <v>229</v>
      </c>
      <c r="C141" s="14">
        <v>3999932.21</v>
      </c>
      <c r="G141" s="14">
        <v>3999932.21</v>
      </c>
      <c r="K141" t="str">
        <f t="shared" si="0"/>
        <v xml:space="preserve"> </v>
      </c>
    </row>
    <row r="142" spans="1:13" x14ac:dyDescent="0.25">
      <c r="A142" s="2" t="s">
        <v>230</v>
      </c>
      <c r="B142" s="2" t="s">
        <v>231</v>
      </c>
      <c r="C142" s="14">
        <v>-3750</v>
      </c>
      <c r="D142" s="14">
        <v>-4036</v>
      </c>
      <c r="E142">
        <v>-7.09</v>
      </c>
      <c r="F142">
        <v>92.91</v>
      </c>
      <c r="G142" s="14">
        <v>286</v>
      </c>
      <c r="I142" s="14">
        <v>-5000</v>
      </c>
      <c r="K142" t="str">
        <f t="shared" si="0"/>
        <v xml:space="preserve"> </v>
      </c>
    </row>
    <row r="143" spans="1:13" x14ac:dyDescent="0.25">
      <c r="A143" s="2" t="s">
        <v>232</v>
      </c>
      <c r="B143" s="2" t="s">
        <v>233</v>
      </c>
      <c r="C143" s="14">
        <v>-21540.22</v>
      </c>
      <c r="D143" s="14">
        <v>-70630</v>
      </c>
      <c r="E143">
        <v>-69.5</v>
      </c>
      <c r="F143">
        <v>30.5</v>
      </c>
      <c r="G143" s="14">
        <v>49089.78</v>
      </c>
      <c r="I143" s="14">
        <v>-40000</v>
      </c>
      <c r="K143" t="str">
        <f t="shared" si="0"/>
        <v xml:space="preserve"> </v>
      </c>
    </row>
    <row r="144" spans="1:13" x14ac:dyDescent="0.25">
      <c r="A144" s="2" t="s">
        <v>234</v>
      </c>
      <c r="B144" s="2" t="s">
        <v>235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C145" s="14">
        <v>-2711.48</v>
      </c>
      <c r="D145" s="14">
        <v>-500</v>
      </c>
      <c r="E145">
        <v>442.3</v>
      </c>
      <c r="F145">
        <v>542.29999999999995</v>
      </c>
      <c r="G145" s="14">
        <v>-2211.48</v>
      </c>
      <c r="I145" s="14">
        <v>-5000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C146" s="14">
        <v>-3431.1</v>
      </c>
      <c r="D146" s="14">
        <v>-25225</v>
      </c>
      <c r="E146">
        <v>-86.4</v>
      </c>
      <c r="F146">
        <v>13.6</v>
      </c>
      <c r="G146" s="14">
        <v>21793.9</v>
      </c>
      <c r="I146" s="14">
        <v>-15000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-17112.5</v>
      </c>
      <c r="G147" s="14">
        <v>-17112.5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C148" s="14">
        <v>-16355.99</v>
      </c>
      <c r="D148" s="14">
        <v>-156395</v>
      </c>
      <c r="E148">
        <v>-89.54</v>
      </c>
      <c r="F148">
        <v>10.46</v>
      </c>
      <c r="G148" s="14">
        <v>140039.01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C149" s="14">
        <v>-12104.14</v>
      </c>
      <c r="D149" s="14">
        <v>-158413</v>
      </c>
      <c r="E149">
        <v>-92.36</v>
      </c>
      <c r="F149">
        <v>7.64</v>
      </c>
      <c r="G149" s="14">
        <v>146308.85999999999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D150" s="14">
        <v>-2101817.9</v>
      </c>
      <c r="E150">
        <v>-100</v>
      </c>
      <c r="G150" s="14">
        <v>2101817.9</v>
      </c>
      <c r="I150" s="14">
        <v>-2770000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D151" s="14">
        <v>-554950</v>
      </c>
      <c r="E151">
        <v>-100</v>
      </c>
      <c r="G151" s="14">
        <v>554950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C153" s="14">
        <v>-106875</v>
      </c>
      <c r="G153" s="14">
        <v>-106875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C154" s="14">
        <v>-94368.72</v>
      </c>
      <c r="D154" s="14">
        <v>-252250</v>
      </c>
      <c r="E154">
        <v>-62.59</v>
      </c>
      <c r="F154">
        <v>37.409999999999997</v>
      </c>
      <c r="G154" s="14">
        <v>157881.28</v>
      </c>
      <c r="I154" s="14">
        <v>-210000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C156" s="14">
        <v>-198068.61</v>
      </c>
      <c r="G156" s="14">
        <v>-198068.61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D157" s="14">
        <v>-480000</v>
      </c>
      <c r="E157">
        <v>-100</v>
      </c>
      <c r="G157" s="14">
        <v>480000</v>
      </c>
      <c r="I157" s="14">
        <f>-90000*4</f>
        <v>-360000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C158" s="14">
        <v>-3766.6</v>
      </c>
      <c r="D158" s="14">
        <v>-504500</v>
      </c>
      <c r="E158">
        <v>-99.25</v>
      </c>
      <c r="F158">
        <v>0.75</v>
      </c>
      <c r="G158" s="14">
        <v>500733.4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I159" s="14">
        <v>-20000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K166" t="str">
        <f t="shared" si="1"/>
        <v xml:space="preserve"> </v>
      </c>
    </row>
    <row r="167" spans="1:11" x14ac:dyDescent="0.25">
      <c r="A167" s="2" t="s">
        <v>280</v>
      </c>
      <c r="B167" s="2" t="s">
        <v>281</v>
      </c>
      <c r="C167" s="14">
        <v>-197965.61</v>
      </c>
      <c r="D167" s="14">
        <v>-504500</v>
      </c>
      <c r="E167">
        <v>-60.76</v>
      </c>
      <c r="F167">
        <v>39.24</v>
      </c>
      <c r="G167" s="14">
        <v>306534.39</v>
      </c>
      <c r="I167" s="14">
        <v>-750000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-667530.48</v>
      </c>
      <c r="D168" s="14">
        <v>-2724300</v>
      </c>
      <c r="E168">
        <v>-75.5</v>
      </c>
      <c r="F168">
        <v>24.5</v>
      </c>
      <c r="G168" s="14">
        <v>2056769.52</v>
      </c>
      <c r="I168" s="14">
        <v>-2000000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C169" s="14">
        <v>-53405.25</v>
      </c>
      <c r="D169" s="14">
        <v>-353150</v>
      </c>
      <c r="E169">
        <v>-84.88</v>
      </c>
      <c r="F169">
        <v>15.12</v>
      </c>
      <c r="G169" s="14">
        <v>299744.75</v>
      </c>
      <c r="I169" s="14">
        <v>-350000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C170" s="14">
        <v>-20000</v>
      </c>
      <c r="D170" s="14">
        <v>-100900</v>
      </c>
      <c r="E170">
        <v>-80.180000000000007</v>
      </c>
      <c r="F170">
        <v>19.82</v>
      </c>
      <c r="G170" s="14">
        <v>80900</v>
      </c>
      <c r="I170" s="14">
        <v>-100000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C171" s="14">
        <v>-137737.5</v>
      </c>
      <c r="D171" s="14">
        <v>-763769.18</v>
      </c>
      <c r="E171">
        <v>-81.97</v>
      </c>
      <c r="F171">
        <v>18.03</v>
      </c>
      <c r="G171" s="14">
        <v>626031.68000000005</v>
      </c>
      <c r="I171" s="14">
        <f>-1350*6*26-30*1350-150000</f>
        <v>-401100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C172" s="14">
        <v>-12079</v>
      </c>
      <c r="G172" s="14">
        <v>-12079</v>
      </c>
      <c r="I172" s="14">
        <v>-50000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-14010.36</v>
      </c>
      <c r="D173" s="14">
        <v>-161440</v>
      </c>
      <c r="E173">
        <v>-91.32</v>
      </c>
      <c r="F173">
        <v>8.68</v>
      </c>
      <c r="G173" s="14">
        <v>147429.64000000001</v>
      </c>
      <c r="I173" s="14">
        <v>-44000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C174" s="14">
        <v>-265197</v>
      </c>
      <c r="D174" s="14">
        <v>-201800</v>
      </c>
      <c r="E174">
        <v>31.42</v>
      </c>
      <c r="F174">
        <v>131.41999999999999</v>
      </c>
      <c r="G174" s="14">
        <v>-63397</v>
      </c>
      <c r="I174" s="14">
        <v>-200000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C175" s="14">
        <v>-31263.24</v>
      </c>
      <c r="D175" s="14">
        <v>-50450</v>
      </c>
      <c r="E175">
        <v>-38.03</v>
      </c>
      <c r="F175">
        <v>61.97</v>
      </c>
      <c r="G175" s="14">
        <v>19186.759999999998</v>
      </c>
      <c r="I175" s="14">
        <v>-50450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-38295</v>
      </c>
      <c r="G176" s="14">
        <v>-38295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C177" s="14">
        <v>-262204.34999999998</v>
      </c>
      <c r="D177" s="14">
        <v>-403600</v>
      </c>
      <c r="E177">
        <v>-35.03</v>
      </c>
      <c r="F177">
        <v>64.97</v>
      </c>
      <c r="G177" s="14">
        <v>141395.65</v>
      </c>
      <c r="I177" s="14">
        <f>-250000-170000-68160-14125-10000-2600*12</f>
        <v>-543485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C178" s="14">
        <v>-14920.4</v>
      </c>
      <c r="D178" s="14">
        <v>-20180</v>
      </c>
      <c r="E178">
        <v>-26.06</v>
      </c>
      <c r="F178">
        <v>73.94</v>
      </c>
      <c r="G178" s="14">
        <v>5259.6</v>
      </c>
      <c r="I178" s="14">
        <v>-30000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D179" s="14">
        <v>-20180</v>
      </c>
      <c r="E179">
        <v>-100</v>
      </c>
      <c r="G179" s="14">
        <v>20180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C181" s="14">
        <v>-45736.4</v>
      </c>
      <c r="D181" s="14">
        <v>-605400</v>
      </c>
      <c r="E181">
        <v>-92.45</v>
      </c>
      <c r="F181">
        <v>7.55</v>
      </c>
      <c r="G181" s="14">
        <v>559663.6</v>
      </c>
      <c r="I181" s="14">
        <v>-50000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D182" s="14">
        <v>-1513.5</v>
      </c>
      <c r="E182">
        <v>-100</v>
      </c>
      <c r="G182" s="14">
        <v>1513.5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C183" s="14">
        <v>-13402</v>
      </c>
      <c r="D183" s="14">
        <v>-10090</v>
      </c>
      <c r="E183">
        <v>32.82</v>
      </c>
      <c r="F183">
        <v>132.82</v>
      </c>
      <c r="G183" s="14">
        <v>-3312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D184" s="14">
        <v>-4540.5</v>
      </c>
      <c r="E184">
        <v>-100</v>
      </c>
      <c r="G184" s="14">
        <v>4540.5</v>
      </c>
      <c r="I184" s="14">
        <v>-250000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C185" s="14">
        <v>-821.04</v>
      </c>
      <c r="D185" s="14">
        <v>-10090</v>
      </c>
      <c r="E185">
        <v>-91.86</v>
      </c>
      <c r="F185">
        <v>8.14</v>
      </c>
      <c r="G185" s="14">
        <v>9268.9599999999991</v>
      </c>
      <c r="I185" s="14">
        <v>-5000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-6218.78</v>
      </c>
      <c r="D186" s="14">
        <v>-40217.82</v>
      </c>
      <c r="E186">
        <v>-84.54</v>
      </c>
      <c r="F186">
        <v>15.46</v>
      </c>
      <c r="G186" s="14">
        <v>33999.040000000001</v>
      </c>
      <c r="I186" s="14">
        <v>-500000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-1535.56</v>
      </c>
      <c r="G188" s="14">
        <v>-1535.56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D189" s="14">
        <v>-42639.97</v>
      </c>
      <c r="E189">
        <v>-100</v>
      </c>
      <c r="G189" s="14">
        <v>42639.97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C194" s="14">
        <v>-1819.23</v>
      </c>
      <c r="G194" s="14">
        <v>-1819.23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C196" s="14">
        <v>-7550.27</v>
      </c>
      <c r="G196" s="14">
        <v>-7550.27</v>
      </c>
      <c r="I196" s="14">
        <v>-15000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1728156.38</v>
      </c>
      <c r="D197" s="15">
        <v>3553348.62</v>
      </c>
      <c r="E197" s="4">
        <v>-51.37</v>
      </c>
      <c r="F197" s="4">
        <v>48.63</v>
      </c>
      <c r="G197" s="15">
        <v>-1825192.24</v>
      </c>
      <c r="I197" s="15">
        <f>SUM(I138:I196)</f>
        <v>5226498.3999999985</v>
      </c>
      <c r="K197">
        <f t="shared" si="1"/>
        <v>1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C205" s="14">
        <v>29.66</v>
      </c>
      <c r="G205" s="14">
        <v>29.66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>
        <v>29.66</v>
      </c>
      <c r="D208" s="15"/>
      <c r="E208" s="4"/>
      <c r="F208" s="4"/>
      <c r="G208" s="15">
        <v>29.66</v>
      </c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C213" s="14">
        <v>-7865</v>
      </c>
      <c r="D213" s="14">
        <v>-3600</v>
      </c>
      <c r="E213">
        <v>118.47</v>
      </c>
      <c r="F213">
        <v>218.47</v>
      </c>
      <c r="G213" s="14">
        <v>-4265</v>
      </c>
      <c r="I213" s="14">
        <v>-2500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D214" s="14">
        <v>-7500</v>
      </c>
      <c r="E214">
        <v>-100</v>
      </c>
      <c r="G214" s="14">
        <v>7500</v>
      </c>
      <c r="I214" s="14">
        <v>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C215" s="14">
        <v>-3205.75</v>
      </c>
      <c r="G215" s="14">
        <v>-3205.75</v>
      </c>
      <c r="I215" s="14">
        <v>-2500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>
        <v>-11070.75</v>
      </c>
      <c r="D218" s="15">
        <v>-11100</v>
      </c>
      <c r="E218" s="4">
        <v>-0.26</v>
      </c>
      <c r="F218" s="4">
        <v>99.74</v>
      </c>
      <c r="G218" s="15">
        <v>29.25</v>
      </c>
      <c r="I218" s="15">
        <f>SUM(I211:I217)</f>
        <v>-5000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-1736962.87</v>
      </c>
      <c r="D228" s="16"/>
      <c r="E228" s="6"/>
      <c r="F228" s="6"/>
      <c r="G228" s="16">
        <v>-1736962.87</v>
      </c>
      <c r="I228" s="16">
        <f>I126+I135+I197+I208+I218+I222+I226</f>
        <v>22199.999999998137</v>
      </c>
      <c r="K228">
        <f t="shared" si="2"/>
        <v>1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-1736962.87</v>
      </c>
      <c r="D236" s="16"/>
      <c r="E236" s="6"/>
      <c r="F236" s="6"/>
      <c r="G236" s="16">
        <v>-1736962.87</v>
      </c>
      <c r="I236" s="16">
        <f>I228+I234</f>
        <v>22199.999999998137</v>
      </c>
      <c r="K236">
        <f t="shared" si="2"/>
        <v>1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I240" s="14">
        <v>-22200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/>
      <c r="D242" s="15"/>
      <c r="E242" s="4"/>
      <c r="F242" s="4"/>
      <c r="G242" s="15"/>
      <c r="I242" s="15">
        <f>SUM(I238:I241)</f>
        <v>-22200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-1736962.87</v>
      </c>
      <c r="D244" s="16"/>
      <c r="E244" s="6"/>
      <c r="F244" s="6"/>
      <c r="G244" s="16">
        <v>-1736962.87</v>
      </c>
      <c r="I244" s="16">
        <f>I236+I242</f>
        <v>-1.862645149230957E-9</v>
      </c>
      <c r="K244" t="str">
        <f t="shared" si="2"/>
        <v xml:space="preserve"> </v>
      </c>
    </row>
  </sheetData>
  <sheetProtection algorithmName="SHA-512" hashValue="Po1fXHoYhx2E8h0owQJAeE+xlAEDkE4zsiHhdNqdEJ0UdcDwV7tt950IUFz4z3ELopazFH8Biv+NKAhuwHSgtw==" saltValue="ikgUGo1aTKBvf4wQe3dHCw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4"/>
  <sheetViews>
    <sheetView topLeftCell="A84" workbookViewId="0">
      <selection activeCell="I90" sqref="I9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3" width="13.28515625" style="14" hidden="1" customWidth="1"/>
    <col min="4" max="4" width="14.28515625" style="14" hidden="1" customWidth="1"/>
    <col min="5" max="5" width="10.28515625" hidden="1" customWidth="1"/>
    <col min="6" max="6" width="19.42578125" hidden="1" customWidth="1"/>
    <col min="7" max="7" width="14.28515625" style="14" hidden="1" customWidth="1"/>
    <col min="8" max="8" width="2.7109375" hidden="1" customWidth="1"/>
    <col min="9" max="9" width="14.28515625" style="14" bestFit="1" customWidth="1"/>
    <col min="11" max="11" width="16" bestFit="1" customWidth="1"/>
    <col min="12" max="12" width="17" bestFit="1" customWidth="1"/>
  </cols>
  <sheetData>
    <row r="1" spans="1:11" x14ac:dyDescent="0.25">
      <c r="A1" s="1" t="s">
        <v>0</v>
      </c>
    </row>
    <row r="2" spans="1:11" x14ac:dyDescent="0.25">
      <c r="A2" s="2" t="s">
        <v>1</v>
      </c>
      <c r="B2" s="2" t="s">
        <v>2</v>
      </c>
    </row>
    <row r="3" spans="1:11" x14ac:dyDescent="0.25">
      <c r="A3" s="2" t="s">
        <v>3</v>
      </c>
      <c r="B3" s="2" t="s">
        <v>4</v>
      </c>
    </row>
    <row r="4" spans="1:11" x14ac:dyDescent="0.25">
      <c r="A4" s="2" t="s">
        <v>412</v>
      </c>
      <c r="B4" s="2" t="s">
        <v>47</v>
      </c>
    </row>
    <row r="6" spans="1:11" x14ac:dyDescent="0.25">
      <c r="A6" s="2" t="s">
        <v>5</v>
      </c>
      <c r="B6" s="2" t="s">
        <v>6</v>
      </c>
    </row>
    <row r="7" spans="1:11" x14ac:dyDescent="0.25">
      <c r="I7" s="23" t="s">
        <v>444</v>
      </c>
    </row>
    <row r="8" spans="1:11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11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11" x14ac:dyDescent="0.25">
      <c r="A10" s="2" t="s">
        <v>14</v>
      </c>
      <c r="B10" s="2" t="s">
        <v>15</v>
      </c>
      <c r="C10" s="14">
        <v>9418118.4000000004</v>
      </c>
      <c r="D10" s="14">
        <v>20424814</v>
      </c>
      <c r="E10">
        <v>-53.89</v>
      </c>
      <c r="F10">
        <v>46.11</v>
      </c>
      <c r="G10" s="14">
        <v>-11006695.6</v>
      </c>
      <c r="I10" s="14">
        <f>I45</f>
        <v>19025825.5</v>
      </c>
    </row>
    <row r="11" spans="1:11" x14ac:dyDescent="0.25">
      <c r="A11" s="2" t="s">
        <v>16</v>
      </c>
      <c r="B11" s="2" t="s">
        <v>17</v>
      </c>
      <c r="C11" s="14">
        <v>374516.68</v>
      </c>
      <c r="D11" s="14">
        <v>486000</v>
      </c>
      <c r="E11">
        <v>-22.94</v>
      </c>
      <c r="F11">
        <v>77.06</v>
      </c>
      <c r="G11" s="14">
        <v>-111483.32</v>
      </c>
      <c r="I11" s="14">
        <f>I58</f>
        <v>745942.58000000007</v>
      </c>
    </row>
    <row r="12" spans="1:11" x14ac:dyDescent="0.25">
      <c r="A12" s="2" t="s">
        <v>18</v>
      </c>
      <c r="B12" s="2" t="s">
        <v>19</v>
      </c>
      <c r="C12" s="14">
        <v>144523.85</v>
      </c>
      <c r="D12" s="14">
        <v>473616.53</v>
      </c>
      <c r="E12">
        <v>-69.489999999999995</v>
      </c>
      <c r="F12">
        <v>30.51</v>
      </c>
      <c r="G12" s="14">
        <v>-329092.68</v>
      </c>
      <c r="I12" s="14">
        <f>I62</f>
        <v>473616.53</v>
      </c>
    </row>
    <row r="13" spans="1:11" x14ac:dyDescent="0.25">
      <c r="A13" s="3" t="s">
        <v>20</v>
      </c>
      <c r="B13" s="3" t="s">
        <v>21</v>
      </c>
      <c r="C13" s="15">
        <v>9937158.9299999997</v>
      </c>
      <c r="D13" s="15">
        <v>21384430.530000001</v>
      </c>
      <c r="E13" s="4">
        <v>-53.53</v>
      </c>
      <c r="F13" s="4">
        <v>46.47</v>
      </c>
      <c r="G13" s="15">
        <v>-11447271.6</v>
      </c>
      <c r="I13" s="15">
        <f>SUM(I10:I12)</f>
        <v>20245384.609999999</v>
      </c>
      <c r="K13" s="8"/>
    </row>
    <row r="14" spans="1:11" x14ac:dyDescent="0.25">
      <c r="A14" s="2" t="s">
        <v>12</v>
      </c>
      <c r="B14" s="2" t="s">
        <v>12</v>
      </c>
    </row>
    <row r="15" spans="1:11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11" x14ac:dyDescent="0.25">
      <c r="A16" s="2" t="s">
        <v>23</v>
      </c>
      <c r="B16" s="2" t="s">
        <v>24</v>
      </c>
      <c r="I16" s="14">
        <f>I69</f>
        <v>0</v>
      </c>
    </row>
    <row r="17" spans="1:11" x14ac:dyDescent="0.25">
      <c r="A17" s="2" t="s">
        <v>25</v>
      </c>
      <c r="B17" s="2" t="s">
        <v>26</v>
      </c>
      <c r="C17" s="14">
        <v>-1007</v>
      </c>
      <c r="D17" s="14">
        <v>-7000</v>
      </c>
      <c r="E17">
        <v>-85.61</v>
      </c>
      <c r="F17">
        <v>14.39</v>
      </c>
      <c r="G17" s="14">
        <v>5993</v>
      </c>
      <c r="I17" s="14">
        <f>I76</f>
        <v>-7000</v>
      </c>
    </row>
    <row r="18" spans="1:11" x14ac:dyDescent="0.25">
      <c r="A18" s="2" t="s">
        <v>27</v>
      </c>
      <c r="B18" s="2" t="s">
        <v>28</v>
      </c>
      <c r="I18" s="14">
        <f>I81</f>
        <v>0</v>
      </c>
    </row>
    <row r="19" spans="1:11" x14ac:dyDescent="0.25">
      <c r="A19" s="2" t="s">
        <v>12</v>
      </c>
      <c r="B19" s="2" t="s">
        <v>12</v>
      </c>
    </row>
    <row r="20" spans="1:11" x14ac:dyDescent="0.25">
      <c r="A20" s="2" t="s">
        <v>29</v>
      </c>
      <c r="B20" s="2" t="s">
        <v>30</v>
      </c>
      <c r="C20" s="14">
        <v>-7494888.0199999996</v>
      </c>
      <c r="D20" s="14">
        <v>-14823989.75</v>
      </c>
      <c r="E20">
        <v>-49.44</v>
      </c>
      <c r="F20">
        <v>50.56</v>
      </c>
      <c r="G20" s="14">
        <v>7329101.7300000004</v>
      </c>
      <c r="I20" s="14">
        <f>I122</f>
        <v>-13222324.969999999</v>
      </c>
    </row>
    <row r="21" spans="1:11" x14ac:dyDescent="0.25">
      <c r="A21" s="3" t="s">
        <v>31</v>
      </c>
      <c r="B21" s="3" t="s">
        <v>32</v>
      </c>
      <c r="C21" s="15">
        <v>-7495895.0199999996</v>
      </c>
      <c r="D21" s="15">
        <v>-14830989.75</v>
      </c>
      <c r="E21" s="4">
        <v>-49.46</v>
      </c>
      <c r="F21" s="4">
        <v>50.54</v>
      </c>
      <c r="G21" s="15">
        <v>7335094.7300000004</v>
      </c>
      <c r="I21" s="15">
        <f>I20+I18+I17+I16</f>
        <v>-13229324.969999999</v>
      </c>
      <c r="K21" s="8"/>
    </row>
    <row r="22" spans="1:11" x14ac:dyDescent="0.25">
      <c r="A22" s="2" t="s">
        <v>12</v>
      </c>
      <c r="B22" s="2" t="s">
        <v>12</v>
      </c>
    </row>
    <row r="23" spans="1:11" x14ac:dyDescent="0.25">
      <c r="A23" s="2" t="s">
        <v>33</v>
      </c>
      <c r="B23" s="2" t="s">
        <v>34</v>
      </c>
      <c r="C23" s="14">
        <v>47036.14</v>
      </c>
      <c r="D23" s="14">
        <v>175000</v>
      </c>
      <c r="E23">
        <v>-73.12</v>
      </c>
      <c r="F23">
        <v>26.88</v>
      </c>
      <c r="G23" s="14">
        <v>-127963.86</v>
      </c>
      <c r="I23" s="14">
        <f>I135</f>
        <v>105000</v>
      </c>
      <c r="K23" s="8"/>
    </row>
    <row r="24" spans="1:11" x14ac:dyDescent="0.25">
      <c r="A24" s="2" t="s">
        <v>35</v>
      </c>
      <c r="B24" s="2" t="s">
        <v>36</v>
      </c>
      <c r="C24" s="14">
        <v>-4008236.93</v>
      </c>
      <c r="D24" s="14">
        <v>-10331244.18</v>
      </c>
      <c r="E24">
        <v>-61.2</v>
      </c>
      <c r="F24">
        <v>38.799999999999997</v>
      </c>
      <c r="G24" s="14">
        <v>6323007.25</v>
      </c>
      <c r="I24" s="14">
        <f>I197</f>
        <v>-11385593.4593</v>
      </c>
      <c r="K24" s="8"/>
    </row>
    <row r="25" spans="1:11" x14ac:dyDescent="0.25">
      <c r="A25" s="2" t="s">
        <v>37</v>
      </c>
      <c r="B25" s="2" t="s">
        <v>38</v>
      </c>
      <c r="I25" s="14">
        <f>I208</f>
        <v>0</v>
      </c>
    </row>
    <row r="26" spans="1:11" x14ac:dyDescent="0.25">
      <c r="A26" s="2" t="s">
        <v>39</v>
      </c>
      <c r="B26" s="2" t="s">
        <v>40</v>
      </c>
      <c r="I26" s="14">
        <f>I218</f>
        <v>0</v>
      </c>
    </row>
    <row r="27" spans="1:11" x14ac:dyDescent="0.25">
      <c r="A27" s="2" t="s">
        <v>41</v>
      </c>
      <c r="B27" s="2" t="s">
        <v>42</v>
      </c>
      <c r="I27" s="14">
        <f>I222</f>
        <v>0</v>
      </c>
    </row>
    <row r="28" spans="1:11" x14ac:dyDescent="0.25">
      <c r="A28" s="2" t="s">
        <v>43</v>
      </c>
      <c r="B28" s="2" t="s">
        <v>44</v>
      </c>
      <c r="I28" s="14">
        <f>I226</f>
        <v>0</v>
      </c>
    </row>
    <row r="29" spans="1:11" x14ac:dyDescent="0.25">
      <c r="A29" s="2" t="s">
        <v>12</v>
      </c>
      <c r="B29" s="2" t="s">
        <v>12</v>
      </c>
    </row>
    <row r="30" spans="1:11" ht="15.75" thickBot="1" x14ac:dyDescent="0.3">
      <c r="A30" s="5" t="s">
        <v>45</v>
      </c>
      <c r="B30" s="5" t="s">
        <v>46</v>
      </c>
      <c r="C30" s="16">
        <v>-1519936.88</v>
      </c>
      <c r="D30" s="16">
        <v>-3602803.4</v>
      </c>
      <c r="E30" s="6">
        <v>-57.81</v>
      </c>
      <c r="F30" s="6">
        <v>42.19</v>
      </c>
      <c r="G30" s="16">
        <v>2082866.52</v>
      </c>
      <c r="I30" s="16">
        <f>I13+I21+I23+I24+I25+I26+I27+I28</f>
        <v>-4264533.8192999996</v>
      </c>
      <c r="K30" s="8"/>
    </row>
    <row r="31" spans="1:11" ht="15.75" thickTop="1" x14ac:dyDescent="0.25">
      <c r="A31" s="2" t="s">
        <v>12</v>
      </c>
      <c r="B31" s="2" t="s">
        <v>12</v>
      </c>
    </row>
    <row r="32" spans="1:11" x14ac:dyDescent="0.25">
      <c r="A32" s="2" t="s">
        <v>47</v>
      </c>
      <c r="B32" s="2" t="s">
        <v>48</v>
      </c>
      <c r="C32" s="14">
        <v>-545439.93999999994</v>
      </c>
      <c r="D32" s="14">
        <v>-1026941.18</v>
      </c>
      <c r="E32">
        <v>-46.89</v>
      </c>
      <c r="F32">
        <v>53.11</v>
      </c>
      <c r="G32" s="14">
        <v>481501.24</v>
      </c>
      <c r="I32" s="14">
        <f>I242</f>
        <v>-742730.58</v>
      </c>
    </row>
    <row r="33" spans="1:11" x14ac:dyDescent="0.25">
      <c r="A33" s="2" t="s">
        <v>12</v>
      </c>
      <c r="B33" s="2" t="s">
        <v>12</v>
      </c>
    </row>
    <row r="34" spans="1:11" ht="15.75" thickBot="1" x14ac:dyDescent="0.3">
      <c r="A34" s="5" t="s">
        <v>12</v>
      </c>
      <c r="B34" s="5" t="s">
        <v>49</v>
      </c>
      <c r="C34" s="16">
        <v>-2065376.82</v>
      </c>
      <c r="D34" s="16">
        <v>-4629744.58</v>
      </c>
      <c r="E34" s="6">
        <v>-55.39</v>
      </c>
      <c r="F34" s="6">
        <v>44.61</v>
      </c>
      <c r="G34" s="16">
        <v>2564367.7599999998</v>
      </c>
      <c r="I34" s="16">
        <f>I30+I32</f>
        <v>-5007264.3992999997</v>
      </c>
      <c r="K34" s="8"/>
    </row>
    <row r="35" spans="1:11" ht="15.75" thickTop="1" x14ac:dyDescent="0.25">
      <c r="A35" s="2" t="s">
        <v>12</v>
      </c>
      <c r="B35" s="2" t="s">
        <v>12</v>
      </c>
    </row>
    <row r="36" spans="1:11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11" x14ac:dyDescent="0.25">
      <c r="A37" s="2" t="s">
        <v>12</v>
      </c>
      <c r="B37" s="2" t="s">
        <v>12</v>
      </c>
    </row>
    <row r="38" spans="1:11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11" x14ac:dyDescent="0.25">
      <c r="A39" s="2" t="s">
        <v>53</v>
      </c>
      <c r="B39" s="2" t="s">
        <v>54</v>
      </c>
      <c r="C39" s="14">
        <v>7992899.9199999999</v>
      </c>
      <c r="D39" s="14">
        <v>15736444</v>
      </c>
      <c r="E39">
        <v>-49.21</v>
      </c>
      <c r="F39">
        <v>50.79</v>
      </c>
      <c r="G39" s="14">
        <v>-7743544.0800000001</v>
      </c>
      <c r="I39" s="14">
        <f>15039805+332600</f>
        <v>15372405</v>
      </c>
    </row>
    <row r="40" spans="1:11" x14ac:dyDescent="0.25">
      <c r="A40" s="2" t="s">
        <v>55</v>
      </c>
      <c r="B40" s="2" t="s">
        <v>56</v>
      </c>
      <c r="C40" s="14">
        <v>443418.07</v>
      </c>
      <c r="D40" s="14">
        <v>723150</v>
      </c>
      <c r="E40">
        <v>-38.68</v>
      </c>
      <c r="F40">
        <v>61.32</v>
      </c>
      <c r="G40" s="14">
        <v>-279731.93</v>
      </c>
      <c r="I40" s="14">
        <v>1224360.5</v>
      </c>
    </row>
    <row r="41" spans="1:11" x14ac:dyDescent="0.25">
      <c r="A41" s="2" t="s">
        <v>57</v>
      </c>
      <c r="B41" s="2" t="s">
        <v>58</v>
      </c>
      <c r="C41" s="14">
        <v>22065.09</v>
      </c>
      <c r="D41" s="14">
        <v>168560</v>
      </c>
      <c r="E41">
        <v>-86.91</v>
      </c>
      <c r="F41">
        <v>13.09</v>
      </c>
      <c r="G41" s="14">
        <v>-146494.91</v>
      </c>
      <c r="I41" s="14">
        <v>43800</v>
      </c>
    </row>
    <row r="42" spans="1:11" x14ac:dyDescent="0.25">
      <c r="A42" s="2" t="s">
        <v>59</v>
      </c>
      <c r="B42" s="2" t="s">
        <v>60</v>
      </c>
      <c r="C42" s="14">
        <v>23638.2</v>
      </c>
      <c r="D42" s="14">
        <v>2010580</v>
      </c>
      <c r="E42">
        <v>-98.82</v>
      </c>
      <c r="F42">
        <v>1.18</v>
      </c>
      <c r="G42" s="14">
        <v>-1986941.8</v>
      </c>
      <c r="I42" s="14">
        <v>95960</v>
      </c>
    </row>
    <row r="43" spans="1:11" x14ac:dyDescent="0.25">
      <c r="A43" s="2" t="s">
        <v>61</v>
      </c>
      <c r="B43" s="2" t="s">
        <v>62</v>
      </c>
      <c r="C43" s="14">
        <v>893040</v>
      </c>
      <c r="D43" s="14">
        <f>1786080</f>
        <v>1786080</v>
      </c>
      <c r="E43">
        <v>-50</v>
      </c>
      <c r="F43">
        <v>50</v>
      </c>
      <c r="G43" s="14">
        <v>-893040</v>
      </c>
      <c r="I43" s="14">
        <f>1884540+404760</f>
        <v>2289300</v>
      </c>
    </row>
    <row r="44" spans="1:11" x14ac:dyDescent="0.25">
      <c r="A44" s="2" t="s">
        <v>63</v>
      </c>
      <c r="B44" s="2" t="s">
        <v>64</v>
      </c>
      <c r="C44" s="14">
        <v>43057.120000000003</v>
      </c>
      <c r="G44" s="14">
        <v>43057.120000000003</v>
      </c>
    </row>
    <row r="45" spans="1:11" x14ac:dyDescent="0.25">
      <c r="A45" s="3" t="s">
        <v>65</v>
      </c>
      <c r="B45" s="3" t="s">
        <v>66</v>
      </c>
      <c r="C45" s="15">
        <v>9418118.4000000004</v>
      </c>
      <c r="D45" s="15">
        <v>20424814</v>
      </c>
      <c r="E45" s="4">
        <v>-53.89</v>
      </c>
      <c r="F45" s="4">
        <v>46.11</v>
      </c>
      <c r="G45" s="15">
        <v>-11006695.6</v>
      </c>
      <c r="I45" s="15">
        <f>SUM(I39:I44)</f>
        <v>19025825.5</v>
      </c>
    </row>
    <row r="46" spans="1:11" x14ac:dyDescent="0.25">
      <c r="A46" s="2" t="s">
        <v>12</v>
      </c>
      <c r="B46" s="2" t="s">
        <v>12</v>
      </c>
    </row>
    <row r="47" spans="1:11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11" x14ac:dyDescent="0.25">
      <c r="A48" s="2" t="s">
        <v>69</v>
      </c>
      <c r="B48" s="2" t="s">
        <v>70</v>
      </c>
    </row>
    <row r="49" spans="1:11" x14ac:dyDescent="0.25">
      <c r="A49" s="2" t="s">
        <v>71</v>
      </c>
      <c r="B49" s="2" t="s">
        <v>72</v>
      </c>
    </row>
    <row r="50" spans="1:11" x14ac:dyDescent="0.25">
      <c r="A50" s="2" t="s">
        <v>73</v>
      </c>
      <c r="B50" s="2" t="s">
        <v>74</v>
      </c>
      <c r="D50" s="14">
        <v>50000</v>
      </c>
      <c r="E50">
        <v>-100</v>
      </c>
      <c r="G50" s="14">
        <v>-50000</v>
      </c>
      <c r="I50" s="14">
        <v>50000</v>
      </c>
    </row>
    <row r="51" spans="1:11" x14ac:dyDescent="0.25">
      <c r="A51" s="2" t="s">
        <v>75</v>
      </c>
      <c r="B51" s="2" t="s">
        <v>76</v>
      </c>
      <c r="C51" s="14">
        <v>123531.55</v>
      </c>
      <c r="D51" s="14">
        <v>50000</v>
      </c>
      <c r="E51">
        <v>147.06</v>
      </c>
      <c r="F51">
        <v>247.06</v>
      </c>
      <c r="G51" s="14">
        <v>73531.55</v>
      </c>
      <c r="I51" s="14">
        <v>123531.55</v>
      </c>
    </row>
    <row r="52" spans="1:11" x14ac:dyDescent="0.25">
      <c r="A52" s="2" t="s">
        <v>77</v>
      </c>
      <c r="B52" s="2" t="s">
        <v>78</v>
      </c>
      <c r="C52" s="14">
        <v>35000</v>
      </c>
      <c r="D52" s="14">
        <v>16000</v>
      </c>
      <c r="E52">
        <v>118.75</v>
      </c>
      <c r="F52">
        <v>218.75</v>
      </c>
      <c r="G52" s="14">
        <v>19000</v>
      </c>
      <c r="I52" s="14">
        <v>35000</v>
      </c>
    </row>
    <row r="53" spans="1:11" x14ac:dyDescent="0.25">
      <c r="A53" s="2" t="s">
        <v>79</v>
      </c>
      <c r="B53" s="2" t="s">
        <v>80</v>
      </c>
    </row>
    <row r="54" spans="1:11" x14ac:dyDescent="0.25">
      <c r="A54" s="2" t="s">
        <v>81</v>
      </c>
      <c r="B54" s="2" t="s">
        <v>82</v>
      </c>
      <c r="C54" s="14">
        <v>12993.09</v>
      </c>
      <c r="D54" s="14">
        <v>250000</v>
      </c>
      <c r="E54">
        <v>-94.8</v>
      </c>
      <c r="F54">
        <v>5.2</v>
      </c>
      <c r="G54" s="14">
        <v>-237006.91</v>
      </c>
      <c r="I54" s="14">
        <v>250000</v>
      </c>
    </row>
    <row r="55" spans="1:11" x14ac:dyDescent="0.25">
      <c r="A55" s="2" t="s">
        <v>83</v>
      </c>
      <c r="B55" s="2" t="s">
        <v>84</v>
      </c>
      <c r="C55" s="14">
        <v>190911.03</v>
      </c>
      <c r="D55" s="14">
        <v>100000</v>
      </c>
      <c r="E55">
        <v>90.91</v>
      </c>
      <c r="F55">
        <v>190.91</v>
      </c>
      <c r="G55" s="14">
        <v>90911.03</v>
      </c>
      <c r="I55" s="14">
        <f>190911.03+26500+50000</f>
        <v>267411.03000000003</v>
      </c>
    </row>
    <row r="56" spans="1:11" x14ac:dyDescent="0.25">
      <c r="A56" s="2" t="s">
        <v>85</v>
      </c>
      <c r="B56" s="2" t="s">
        <v>86</v>
      </c>
    </row>
    <row r="57" spans="1:11" x14ac:dyDescent="0.25">
      <c r="A57" s="2" t="s">
        <v>87</v>
      </c>
      <c r="B57" s="2" t="s">
        <v>88</v>
      </c>
      <c r="C57" s="14">
        <v>12081.01</v>
      </c>
      <c r="D57" s="14">
        <v>20000</v>
      </c>
      <c r="E57">
        <v>-39.590000000000003</v>
      </c>
      <c r="F57">
        <v>60.41</v>
      </c>
      <c r="G57" s="14">
        <v>-7918.99</v>
      </c>
      <c r="I57" s="14">
        <v>20000</v>
      </c>
    </row>
    <row r="58" spans="1:11" x14ac:dyDescent="0.25">
      <c r="A58" s="3" t="s">
        <v>89</v>
      </c>
      <c r="B58" s="3" t="s">
        <v>17</v>
      </c>
      <c r="C58" s="15">
        <v>374516.68</v>
      </c>
      <c r="D58" s="15">
        <v>486000</v>
      </c>
      <c r="E58" s="4">
        <v>-22.94</v>
      </c>
      <c r="F58" s="4">
        <v>77.06</v>
      </c>
      <c r="G58" s="15">
        <v>-111483.32</v>
      </c>
      <c r="I58" s="15">
        <f>SUM(I48:I57)</f>
        <v>745942.58000000007</v>
      </c>
    </row>
    <row r="59" spans="1:11" x14ac:dyDescent="0.25">
      <c r="A59" s="2" t="s">
        <v>12</v>
      </c>
      <c r="B59" s="2" t="s">
        <v>12</v>
      </c>
    </row>
    <row r="60" spans="1:11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11" x14ac:dyDescent="0.25">
      <c r="A61" s="2" t="s">
        <v>92</v>
      </c>
      <c r="B61" s="2" t="s">
        <v>93</v>
      </c>
      <c r="C61" s="14">
        <v>144523.85</v>
      </c>
      <c r="D61" s="14">
        <v>473616.53</v>
      </c>
      <c r="E61">
        <v>-69.489999999999995</v>
      </c>
      <c r="F61">
        <v>30.51</v>
      </c>
      <c r="G61" s="14">
        <v>-329092.68</v>
      </c>
      <c r="I61" s="14">
        <v>473616.53</v>
      </c>
      <c r="K61" s="7"/>
    </row>
    <row r="62" spans="1:11" x14ac:dyDescent="0.25">
      <c r="A62" s="3" t="s">
        <v>94</v>
      </c>
      <c r="B62" s="3" t="s">
        <v>95</v>
      </c>
      <c r="C62" s="15">
        <v>144523.85</v>
      </c>
      <c r="D62" s="15">
        <v>473616.53</v>
      </c>
      <c r="E62" s="4">
        <v>-69.489999999999995</v>
      </c>
      <c r="F62" s="4">
        <v>30.51</v>
      </c>
      <c r="G62" s="15">
        <v>-329092.68</v>
      </c>
      <c r="I62" s="15">
        <f>I61</f>
        <v>473616.53</v>
      </c>
    </row>
    <row r="63" spans="1:11" x14ac:dyDescent="0.25">
      <c r="A63" s="2" t="s">
        <v>12</v>
      </c>
      <c r="B63" s="2" t="s">
        <v>12</v>
      </c>
    </row>
    <row r="64" spans="1:11" x14ac:dyDescent="0.25">
      <c r="A64" s="3" t="s">
        <v>96</v>
      </c>
      <c r="B64" s="3" t="s">
        <v>97</v>
      </c>
      <c r="C64" s="15">
        <v>9937158.9299999997</v>
      </c>
      <c r="D64" s="15">
        <v>21384430.530000001</v>
      </c>
      <c r="E64" s="4">
        <v>-53.53</v>
      </c>
      <c r="F64" s="4">
        <v>46.47</v>
      </c>
      <c r="G64" s="15">
        <v>-11447271.6</v>
      </c>
      <c r="I64" s="15">
        <f>I62+I58+I45</f>
        <v>20245384.609999999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  <c r="C75" s="14">
        <v>-1007</v>
      </c>
      <c r="D75" s="14">
        <v>-7000</v>
      </c>
      <c r="E75">
        <v>-85.61</v>
      </c>
      <c r="F75">
        <v>14.39</v>
      </c>
      <c r="G75" s="14">
        <v>5993</v>
      </c>
      <c r="I75" s="14">
        <v>-7000</v>
      </c>
    </row>
    <row r="76" spans="1:9" x14ac:dyDescent="0.25">
      <c r="A76" s="3" t="s">
        <v>116</v>
      </c>
      <c r="B76" s="3" t="s">
        <v>117</v>
      </c>
      <c r="C76" s="15">
        <v>-1007</v>
      </c>
      <c r="D76" s="15">
        <v>-7000</v>
      </c>
      <c r="E76" s="4">
        <v>-85.61</v>
      </c>
      <c r="F76" s="4">
        <v>14.39</v>
      </c>
      <c r="G76" s="15">
        <v>5993</v>
      </c>
      <c r="I76" s="15">
        <f>SUM(I72:I75)</f>
        <v>-7000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-8329713.3700000001</v>
      </c>
      <c r="D89" s="14">
        <v>-14635616.960000001</v>
      </c>
      <c r="E89">
        <v>-43.09</v>
      </c>
      <c r="F89">
        <v>56.91</v>
      </c>
      <c r="G89" s="14">
        <v>6305903.5899999999</v>
      </c>
      <c r="I89" s="14">
        <f>-14263510.11-432550/2-273000</f>
        <v>-14752785.109999999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I92" s="14">
        <v>-454537.5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C95" s="14">
        <v>-8361.82</v>
      </c>
      <c r="G95" s="14">
        <v>-8361.82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2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2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2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2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2" x14ac:dyDescent="0.25">
      <c r="A101" s="2" t="s">
        <v>161</v>
      </c>
      <c r="B101" s="2" t="s">
        <v>162</v>
      </c>
      <c r="K101" t="str">
        <f t="shared" si="0"/>
        <v xml:space="preserve"> </v>
      </c>
    </row>
    <row r="102" spans="1:12" x14ac:dyDescent="0.25">
      <c r="A102" s="2" t="s">
        <v>163</v>
      </c>
      <c r="B102" s="2" t="s">
        <v>164</v>
      </c>
      <c r="D102" s="14">
        <v>-100000</v>
      </c>
      <c r="E102">
        <v>-100</v>
      </c>
      <c r="G102" s="14">
        <v>100000</v>
      </c>
      <c r="K102" t="str">
        <f t="shared" si="0"/>
        <v xml:space="preserve"> </v>
      </c>
    </row>
    <row r="103" spans="1:12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2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2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2" x14ac:dyDescent="0.25">
      <c r="A106" s="3" t="s">
        <v>171</v>
      </c>
      <c r="B106" s="3" t="s">
        <v>172</v>
      </c>
      <c r="C106" s="15">
        <v>-8338075.1900000004</v>
      </c>
      <c r="D106" s="15">
        <v>-14735616.960000001</v>
      </c>
      <c r="E106" s="4">
        <v>-43.42</v>
      </c>
      <c r="F106" s="4">
        <v>56.58</v>
      </c>
      <c r="G106" s="15">
        <v>6397541.7699999996</v>
      </c>
      <c r="I106" s="15">
        <f>SUM(I84:I105)</f>
        <v>-15207322.609999999</v>
      </c>
      <c r="K106" t="str">
        <f t="shared" si="0"/>
        <v xml:space="preserve"> </v>
      </c>
    </row>
    <row r="107" spans="1:12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2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2" x14ac:dyDescent="0.25">
      <c r="A109" s="2" t="s">
        <v>175</v>
      </c>
      <c r="B109" s="2" t="s">
        <v>174</v>
      </c>
      <c r="C109" s="14">
        <v>-1365155.8</v>
      </c>
      <c r="D109" s="14">
        <v>-2974248.42</v>
      </c>
      <c r="E109">
        <v>-54.1</v>
      </c>
      <c r="F109">
        <v>45.9</v>
      </c>
      <c r="G109" s="14">
        <v>1609092.62</v>
      </c>
      <c r="I109" s="14">
        <v>0</v>
      </c>
      <c r="K109" t="str">
        <f t="shared" si="0"/>
        <v xml:space="preserve"> </v>
      </c>
    </row>
    <row r="110" spans="1:12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2" x14ac:dyDescent="0.25">
      <c r="A111" s="3" t="s">
        <v>178</v>
      </c>
      <c r="B111" s="3" t="s">
        <v>179</v>
      </c>
      <c r="C111" s="15">
        <v>-1365155.8</v>
      </c>
      <c r="D111" s="15">
        <v>-2974248.42</v>
      </c>
      <c r="E111" s="4">
        <v>-54.1</v>
      </c>
      <c r="F111" s="4">
        <v>45.9</v>
      </c>
      <c r="G111" s="15">
        <v>1609092.62</v>
      </c>
      <c r="I111" s="15">
        <f>I110+I109</f>
        <v>0</v>
      </c>
      <c r="K111" t="str">
        <f t="shared" si="0"/>
        <v xml:space="preserve"> </v>
      </c>
      <c r="L111" s="8"/>
    </row>
    <row r="112" spans="1:12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2016990.26</v>
      </c>
      <c r="D114" s="14">
        <v>2736110.95</v>
      </c>
      <c r="E114">
        <v>-26.28</v>
      </c>
      <c r="F114">
        <v>73.72</v>
      </c>
      <c r="G114" s="14">
        <v>-719120.69</v>
      </c>
      <c r="I114" s="14">
        <v>1984997.64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180173</v>
      </c>
      <c r="G115" s="14">
        <v>180173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C117" s="14">
        <v>7991.02</v>
      </c>
      <c r="D117" s="14">
        <v>27189.23</v>
      </c>
      <c r="E117">
        <v>-70.61</v>
      </c>
      <c r="F117">
        <v>29.39</v>
      </c>
      <c r="G117" s="14">
        <v>-19198.21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C120" s="14">
        <v>3188.69</v>
      </c>
      <c r="D120" s="14">
        <v>122575.45</v>
      </c>
      <c r="E120">
        <v>-97.4</v>
      </c>
      <c r="F120">
        <v>2.6</v>
      </c>
      <c r="G120" s="14">
        <v>-119386.76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2208342.9700000002</v>
      </c>
      <c r="D121" s="15">
        <v>2885875.63</v>
      </c>
      <c r="E121" s="4">
        <v>-23.48</v>
      </c>
      <c r="F121" s="4">
        <v>76.52</v>
      </c>
      <c r="G121" s="15">
        <v>-677532.66</v>
      </c>
      <c r="I121" s="15">
        <f>SUM(I114:I120)</f>
        <v>1984997.64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-7494888.0199999996</v>
      </c>
      <c r="D122" s="15">
        <v>-14823989.75</v>
      </c>
      <c r="E122" s="4">
        <v>-49.44</v>
      </c>
      <c r="F122" s="4">
        <v>50.56</v>
      </c>
      <c r="G122" s="15">
        <v>7329101.7300000004</v>
      </c>
      <c r="I122" s="15">
        <f>I121+I111+I106</f>
        <v>-13222324.969999999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-7495895.0199999996</v>
      </c>
      <c r="D124" s="15">
        <v>-14830989.75</v>
      </c>
      <c r="E124" s="4">
        <v>-49.46</v>
      </c>
      <c r="F124" s="4">
        <v>50.54</v>
      </c>
      <c r="G124" s="15">
        <v>7335094.7300000004</v>
      </c>
      <c r="I124" s="15">
        <f>I122+I81+I76+I69</f>
        <v>-13229324.969999999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2441263.91</v>
      </c>
      <c r="D126" s="15">
        <v>6553440.7800000003</v>
      </c>
      <c r="E126" s="4">
        <v>-62.75</v>
      </c>
      <c r="F126" s="4">
        <v>37.25</v>
      </c>
      <c r="G126" s="15">
        <v>-4112176.87</v>
      </c>
      <c r="I126" s="15">
        <f>I64+I124</f>
        <v>7016059.6400000006</v>
      </c>
      <c r="K126">
        <f t="shared" si="0"/>
        <v>1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1" x14ac:dyDescent="0.25">
      <c r="A129" s="2" t="s">
        <v>206</v>
      </c>
      <c r="B129" s="2" t="s">
        <v>207</v>
      </c>
      <c r="C129" s="14">
        <v>48507.54</v>
      </c>
      <c r="D129" s="14">
        <v>115000</v>
      </c>
      <c r="E129">
        <v>-57.82</v>
      </c>
      <c r="F129">
        <v>42.18</v>
      </c>
      <c r="G129" s="14">
        <v>-66492.460000000006</v>
      </c>
      <c r="I129" s="14">
        <v>105000</v>
      </c>
      <c r="K129">
        <f t="shared" si="0"/>
        <v>1</v>
      </c>
    </row>
    <row r="130" spans="1:11" x14ac:dyDescent="0.25">
      <c r="A130" s="2" t="s">
        <v>208</v>
      </c>
      <c r="B130" s="2" t="s">
        <v>209</v>
      </c>
      <c r="C130" s="14">
        <v>-1471.4</v>
      </c>
      <c r="D130" s="14">
        <v>60000</v>
      </c>
      <c r="E130">
        <v>-102.45</v>
      </c>
      <c r="F130">
        <v>-2.4500000000000002</v>
      </c>
      <c r="G130" s="14">
        <v>-61471.4</v>
      </c>
      <c r="K130" t="str">
        <f t="shared" si="0"/>
        <v xml:space="preserve"> </v>
      </c>
    </row>
    <row r="131" spans="1:11" x14ac:dyDescent="0.25">
      <c r="A131" s="2" t="s">
        <v>210</v>
      </c>
      <c r="B131" s="2" t="s">
        <v>211</v>
      </c>
      <c r="K131" t="str">
        <f t="shared" si="0"/>
        <v xml:space="preserve"> </v>
      </c>
    </row>
    <row r="132" spans="1:11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1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1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1" x14ac:dyDescent="0.25">
      <c r="A135" s="3" t="s">
        <v>218</v>
      </c>
      <c r="B135" s="3" t="s">
        <v>219</v>
      </c>
      <c r="C135" s="15">
        <v>47036.14</v>
      </c>
      <c r="D135" s="15">
        <v>175000</v>
      </c>
      <c r="E135" s="4">
        <v>-73.12</v>
      </c>
      <c r="F135" s="4">
        <v>26.88</v>
      </c>
      <c r="G135" s="15">
        <v>-127963.86</v>
      </c>
      <c r="I135" s="15">
        <f>SUM(I129:I134)</f>
        <v>105000</v>
      </c>
      <c r="K135">
        <f t="shared" si="0"/>
        <v>1</v>
      </c>
    </row>
    <row r="136" spans="1:11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1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1" x14ac:dyDescent="0.25">
      <c r="A138" s="2" t="s">
        <v>222</v>
      </c>
      <c r="B138" s="2" t="s">
        <v>223</v>
      </c>
      <c r="K138" t="str">
        <f t="shared" si="0"/>
        <v xml:space="preserve"> </v>
      </c>
    </row>
    <row r="139" spans="1:11" x14ac:dyDescent="0.25">
      <c r="A139" s="2" t="s">
        <v>224</v>
      </c>
      <c r="B139" s="2" t="s">
        <v>225</v>
      </c>
      <c r="K139" t="str">
        <f t="shared" si="0"/>
        <v xml:space="preserve"> </v>
      </c>
    </row>
    <row r="140" spans="1:11" x14ac:dyDescent="0.25">
      <c r="A140" s="2" t="s">
        <v>226</v>
      </c>
      <c r="B140" s="2" t="s">
        <v>227</v>
      </c>
      <c r="C140" s="14">
        <v>-1528774.09</v>
      </c>
      <c r="D140" s="14">
        <v>-6069651.8799999999</v>
      </c>
      <c r="E140">
        <v>-74.81</v>
      </c>
      <c r="F140">
        <v>25.19</v>
      </c>
      <c r="G140" s="14">
        <v>4540877.79</v>
      </c>
      <c r="I140" s="14">
        <f>(-Administration!I139-Laks!I140)*170.5/440</f>
        <v>-6695762.2392999995</v>
      </c>
      <c r="K140" t="str">
        <f t="shared" si="0"/>
        <v xml:space="preserve"> </v>
      </c>
    </row>
    <row r="141" spans="1:11" x14ac:dyDescent="0.25">
      <c r="A141" s="2" t="s">
        <v>228</v>
      </c>
      <c r="B141" s="2" t="s">
        <v>229</v>
      </c>
      <c r="K141" t="str">
        <f t="shared" si="0"/>
        <v xml:space="preserve"> </v>
      </c>
    </row>
    <row r="142" spans="1:11" x14ac:dyDescent="0.25">
      <c r="A142" s="2" t="s">
        <v>230</v>
      </c>
      <c r="B142" s="2" t="s">
        <v>231</v>
      </c>
      <c r="C142" s="14">
        <v>-618</v>
      </c>
      <c r="D142" s="14">
        <v>-12500</v>
      </c>
      <c r="E142">
        <v>-95.06</v>
      </c>
      <c r="F142">
        <v>4.9400000000000004</v>
      </c>
      <c r="G142" s="14">
        <v>11882</v>
      </c>
      <c r="I142" s="14">
        <v>-12500</v>
      </c>
      <c r="K142" t="str">
        <f t="shared" si="0"/>
        <v xml:space="preserve"> </v>
      </c>
    </row>
    <row r="143" spans="1:11" x14ac:dyDescent="0.25">
      <c r="A143" s="2" t="s">
        <v>232</v>
      </c>
      <c r="B143" s="2" t="s">
        <v>233</v>
      </c>
      <c r="C143" s="14">
        <v>-6570.26</v>
      </c>
      <c r="D143" s="14">
        <v>-46000</v>
      </c>
      <c r="E143">
        <v>-85.72</v>
      </c>
      <c r="F143">
        <v>14.28</v>
      </c>
      <c r="G143" s="14">
        <v>39429.74</v>
      </c>
      <c r="I143" s="14">
        <v>-46000</v>
      </c>
      <c r="K143" t="str">
        <f t="shared" si="0"/>
        <v xml:space="preserve"> </v>
      </c>
    </row>
    <row r="144" spans="1:11" x14ac:dyDescent="0.25">
      <c r="A144" s="2" t="s">
        <v>234</v>
      </c>
      <c r="B144" s="2" t="s">
        <v>235</v>
      </c>
      <c r="D144" s="14">
        <v>-5000</v>
      </c>
      <c r="E144">
        <v>-100</v>
      </c>
      <c r="G144" s="14">
        <v>5000</v>
      </c>
      <c r="I144" s="14">
        <v>0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D145" s="14">
        <v>-5000</v>
      </c>
      <c r="E145">
        <v>-100</v>
      </c>
      <c r="G145" s="14">
        <v>5000</v>
      </c>
      <c r="I145" s="14">
        <v>0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C146" s="14">
        <v>-267.32</v>
      </c>
      <c r="D146" s="14">
        <v>-16000</v>
      </c>
      <c r="E146">
        <v>-98.33</v>
      </c>
      <c r="F146">
        <v>1.67</v>
      </c>
      <c r="G146" s="14">
        <v>15732.68</v>
      </c>
      <c r="I146" s="14">
        <v>-2500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-338173.5</v>
      </c>
      <c r="G147" s="14">
        <v>-338173.5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C149" s="14">
        <v>-9503.6</v>
      </c>
      <c r="G149" s="14">
        <v>-9503.6</v>
      </c>
      <c r="I149" s="14">
        <v>-20000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C150" s="14">
        <v>-285131.12</v>
      </c>
      <c r="G150" s="14">
        <v>-285131.12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C151" s="14">
        <v>-52041.73</v>
      </c>
      <c r="G151" s="14">
        <v>-52041.73</v>
      </c>
      <c r="I151" s="14">
        <v>-100000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D153" s="14">
        <v>-10600</v>
      </c>
      <c r="E153">
        <v>-100</v>
      </c>
      <c r="G153" s="14">
        <v>10600</v>
      </c>
      <c r="I153" s="14">
        <v>-10600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C155" s="14">
        <v>-12930</v>
      </c>
      <c r="D155" s="14">
        <v>-20100</v>
      </c>
      <c r="E155">
        <v>-35.67</v>
      </c>
      <c r="F155">
        <v>64.33</v>
      </c>
      <c r="G155" s="14">
        <v>7170</v>
      </c>
      <c r="I155" s="14">
        <f>-100*170.5</f>
        <v>-17050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C158" s="14">
        <v>-4840</v>
      </c>
      <c r="D158" s="14">
        <v>-80000</v>
      </c>
      <c r="E158">
        <v>-93.95</v>
      </c>
      <c r="F158">
        <v>6.05</v>
      </c>
      <c r="G158" s="14">
        <v>75160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C161" s="14">
        <v>-239711.95</v>
      </c>
      <c r="D161" s="14">
        <v>-487500</v>
      </c>
      <c r="E161">
        <v>-50.83</v>
      </c>
      <c r="F161">
        <v>49.17</v>
      </c>
      <c r="G161" s="14">
        <v>247788.05</v>
      </c>
      <c r="I161" s="14">
        <v>-731250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C162" s="14">
        <v>-146029.76999999999</v>
      </c>
      <c r="D162" s="14">
        <v>-562500</v>
      </c>
      <c r="E162">
        <v>-74.040000000000006</v>
      </c>
      <c r="F162">
        <v>25.96</v>
      </c>
      <c r="G162" s="14">
        <v>416470.23</v>
      </c>
      <c r="I162" s="14">
        <v>-843750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C163" s="14">
        <v>-16583.580000000002</v>
      </c>
      <c r="D163" s="14">
        <v>-125000</v>
      </c>
      <c r="E163">
        <v>-86.73</v>
      </c>
      <c r="F163">
        <v>13.27</v>
      </c>
      <c r="G163" s="14">
        <v>108416.42</v>
      </c>
      <c r="I163" s="14">
        <v>-125000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C164" s="14">
        <v>-12803.77</v>
      </c>
      <c r="D164" s="14">
        <v>-20000</v>
      </c>
      <c r="E164">
        <v>-35.979999999999997</v>
      </c>
      <c r="F164">
        <v>64.02</v>
      </c>
      <c r="G164" s="14">
        <v>7196.23</v>
      </c>
      <c r="I164" s="14">
        <v>-20000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C165" s="14">
        <v>-10245.280000000001</v>
      </c>
      <c r="D165" s="14">
        <v>-15000</v>
      </c>
      <c r="E165">
        <v>-31.7</v>
      </c>
      <c r="F165">
        <v>68.3</v>
      </c>
      <c r="G165" s="14">
        <v>4754.72</v>
      </c>
      <c r="I165" s="14">
        <v>-15000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K166" t="str">
        <f t="shared" si="1"/>
        <v xml:space="preserve"> </v>
      </c>
    </row>
    <row r="167" spans="1:11" x14ac:dyDescent="0.25">
      <c r="A167" s="2" t="s">
        <v>280</v>
      </c>
      <c r="B167" s="2" t="s">
        <v>281</v>
      </c>
      <c r="C167" s="14">
        <v>-16758.37</v>
      </c>
      <c r="G167" s="14">
        <v>-16758.37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-27800.78</v>
      </c>
      <c r="G168" s="14">
        <v>-27800.78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D171" s="14">
        <v>-15000</v>
      </c>
      <c r="E171">
        <v>-100</v>
      </c>
      <c r="G171" s="14">
        <v>15000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D172" s="14">
        <v>-11000</v>
      </c>
      <c r="E172">
        <v>-100</v>
      </c>
      <c r="G172" s="14">
        <v>11000</v>
      </c>
      <c r="I172" s="14">
        <v>-2500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-9170.81</v>
      </c>
      <c r="G173" s="14">
        <v>-9170.81</v>
      </c>
      <c r="I173" s="14">
        <f>7500*-4</f>
        <v>-30000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C174" s="14">
        <v>-18150</v>
      </c>
      <c r="G174" s="14">
        <v>-18150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C175" s="14">
        <v>-39.200000000000003</v>
      </c>
      <c r="D175" s="14">
        <v>-6000</v>
      </c>
      <c r="E175">
        <v>-99.35</v>
      </c>
      <c r="F175">
        <v>0.65</v>
      </c>
      <c r="G175" s="14">
        <v>5960.8</v>
      </c>
      <c r="I175" s="14">
        <v>-2500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-263808.56</v>
      </c>
      <c r="D176" s="14">
        <v>-465000</v>
      </c>
      <c r="E176">
        <v>-43.27</v>
      </c>
      <c r="F176">
        <v>56.73</v>
      </c>
      <c r="G176" s="14">
        <v>201191.44</v>
      </c>
      <c r="I176" s="14">
        <f>(-21760-22680)*11-15120-7715</f>
        <v>-511675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C177" s="14">
        <v>-8693</v>
      </c>
      <c r="D177" s="14">
        <v>-15135</v>
      </c>
      <c r="E177">
        <v>-42.56</v>
      </c>
      <c r="F177">
        <v>57.44</v>
      </c>
      <c r="G177" s="14">
        <v>6442</v>
      </c>
      <c r="I177" s="14">
        <v>-15135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C178" s="14">
        <v>-563</v>
      </c>
      <c r="D178" s="14">
        <v>-15135</v>
      </c>
      <c r="E178">
        <v>-96.28</v>
      </c>
      <c r="F178">
        <v>3.72</v>
      </c>
      <c r="G178" s="14">
        <v>14572</v>
      </c>
      <c r="I178" s="14">
        <f>-50*170.5</f>
        <v>-8525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D179" s="14">
        <v>-5045</v>
      </c>
      <c r="E179">
        <v>-100</v>
      </c>
      <c r="G179" s="14">
        <v>5045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C180" s="14">
        <v>-30708.75</v>
      </c>
      <c r="D180" s="14">
        <v>-201800</v>
      </c>
      <c r="E180">
        <v>-84.78</v>
      </c>
      <c r="F180">
        <v>15.22</v>
      </c>
      <c r="G180" s="14">
        <v>171091.25</v>
      </c>
      <c r="I180" s="14">
        <f>-100000-101800</f>
        <v>-201800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C181" s="14">
        <v>-209309.42</v>
      </c>
      <c r="D181" s="14">
        <v>-171796.22</v>
      </c>
      <c r="E181">
        <v>21.84</v>
      </c>
      <c r="F181">
        <v>121.84</v>
      </c>
      <c r="G181" s="14">
        <v>-37513.199999999997</v>
      </c>
      <c r="I181" s="14">
        <f>-171796.22</f>
        <v>-171796.22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C183" s="14">
        <v>-14415.05</v>
      </c>
      <c r="D183" s="14">
        <v>-97500</v>
      </c>
      <c r="E183">
        <v>-85.22</v>
      </c>
      <c r="F183">
        <v>14.78</v>
      </c>
      <c r="G183" s="14">
        <v>83084.95</v>
      </c>
      <c r="I183" s="14">
        <f>-500*170.5</f>
        <v>-85250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C184" s="14">
        <v>-10779.02</v>
      </c>
      <c r="D184" s="14">
        <v>-75675</v>
      </c>
      <c r="E184">
        <v>-85.76</v>
      </c>
      <c r="F184">
        <v>14.24</v>
      </c>
      <c r="G184" s="14">
        <v>64895.98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C185" s="14">
        <v>-10434.14</v>
      </c>
      <c r="D185" s="14">
        <v>-28252</v>
      </c>
      <c r="E185">
        <v>-63.07</v>
      </c>
      <c r="F185">
        <v>36.93</v>
      </c>
      <c r="G185" s="14">
        <v>17817.86</v>
      </c>
      <c r="I185" s="14">
        <v>-25000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-9156.23</v>
      </c>
      <c r="D186" s="14">
        <v>-252250</v>
      </c>
      <c r="E186">
        <v>-96.37</v>
      </c>
      <c r="F186">
        <v>3.63</v>
      </c>
      <c r="G186" s="14">
        <v>243093.77</v>
      </c>
      <c r="I186" s="14">
        <v>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C187" s="14">
        <v>-17524.36</v>
      </c>
      <c r="D187" s="14">
        <v>-81123.600000000006</v>
      </c>
      <c r="E187">
        <v>-78.400000000000006</v>
      </c>
      <c r="F187">
        <v>21.6</v>
      </c>
      <c r="G187" s="14">
        <v>63599.24</v>
      </c>
      <c r="I187" s="14">
        <f>170.5*-400</f>
        <v>-68200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-693216.07</v>
      </c>
      <c r="D188" s="14">
        <v>-1210800</v>
      </c>
      <c r="E188">
        <v>-42.75</v>
      </c>
      <c r="F188">
        <v>57.25</v>
      </c>
      <c r="G188" s="14">
        <v>517583.93</v>
      </c>
      <c r="I188" s="14">
        <f>-1210800-18000-20000-100000-20000-50000-195000</f>
        <v>-1613800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D190" s="14">
        <v>-3080.48</v>
      </c>
      <c r="E190">
        <v>-100</v>
      </c>
      <c r="G190" s="14">
        <v>3080.48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C192" s="14">
        <v>-3486.2</v>
      </c>
      <c r="D192" s="14">
        <v>-201800</v>
      </c>
      <c r="E192">
        <v>-98.27</v>
      </c>
      <c r="F192">
        <v>1.73</v>
      </c>
      <c r="G192" s="14">
        <v>198313.8</v>
      </c>
      <c r="I192" s="14">
        <v>-10000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-4008236.93</v>
      </c>
      <c r="D197" s="15">
        <v>-10331244.18</v>
      </c>
      <c r="E197" s="4">
        <v>-61.2</v>
      </c>
      <c r="F197" s="4">
        <v>38.799999999999997</v>
      </c>
      <c r="G197" s="15">
        <v>6323007.25</v>
      </c>
      <c r="I197" s="15">
        <f>SUM(I138:I196)</f>
        <v>-11385593.4593</v>
      </c>
      <c r="K197" t="str">
        <f t="shared" si="1"/>
        <v xml:space="preserve"> 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/>
      <c r="D218" s="15"/>
      <c r="E218" s="4"/>
      <c r="F218" s="4"/>
      <c r="G218" s="15"/>
      <c r="I218" s="15">
        <f>SUM(I211:I217)</f>
        <v>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-1519936.88</v>
      </c>
      <c r="D228" s="16">
        <v>-3602803.4</v>
      </c>
      <c r="E228" s="6">
        <v>-57.81</v>
      </c>
      <c r="F228" s="6">
        <v>42.19</v>
      </c>
      <c r="G228" s="16">
        <v>2082866.52</v>
      </c>
      <c r="I228" s="16">
        <f>I126+I135+I197+I208+I218+I222+I226</f>
        <v>-4264533.8192999996</v>
      </c>
      <c r="K228" t="str">
        <f t="shared" si="2"/>
        <v xml:space="preserve"> 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-1519936.88</v>
      </c>
      <c r="D236" s="16">
        <v>-3602803.4</v>
      </c>
      <c r="E236" s="6">
        <v>-57.81</v>
      </c>
      <c r="F236" s="6">
        <v>42.19</v>
      </c>
      <c r="G236" s="16">
        <v>2082866.52</v>
      </c>
      <c r="I236" s="16">
        <f>I228+I234</f>
        <v>-4264533.8192999996</v>
      </c>
      <c r="K236" t="str">
        <f t="shared" si="2"/>
        <v xml:space="preserve"> 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C240" s="14">
        <v>-545439.93999999994</v>
      </c>
      <c r="D240" s="14">
        <v>-1026941.18</v>
      </c>
      <c r="E240">
        <v>-46.89</v>
      </c>
      <c r="F240">
        <v>53.11</v>
      </c>
      <c r="G240" s="14">
        <v>481501.24</v>
      </c>
      <c r="I240" s="14">
        <v>-742730.58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>
        <v>-545439.93999999994</v>
      </c>
      <c r="D242" s="15">
        <v>-1026941.18</v>
      </c>
      <c r="E242" s="4">
        <v>-46.89</v>
      </c>
      <c r="F242" s="4">
        <v>53.11</v>
      </c>
      <c r="G242" s="15">
        <v>481501.24</v>
      </c>
      <c r="I242" s="15">
        <f>SUM(I238:I241)</f>
        <v>-742730.58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-2065376.82</v>
      </c>
      <c r="D244" s="16">
        <v>-4629744.58</v>
      </c>
      <c r="E244" s="6">
        <v>-55.39</v>
      </c>
      <c r="F244" s="6">
        <v>44.61</v>
      </c>
      <c r="G244" s="16">
        <v>2564367.7599999998</v>
      </c>
      <c r="I244" s="16">
        <f>I236+I242</f>
        <v>-5007264.3992999997</v>
      </c>
      <c r="K244" t="str">
        <f t="shared" si="2"/>
        <v xml:space="preserve"> </v>
      </c>
    </row>
  </sheetData>
  <sheetProtection algorithmName="SHA-512" hashValue="gy8q7PzVmBRHHIE8x6ttuCMdLtERTSJeiNQpFRXzXk0WyIwpUvyuia8HmJef1tV0r7boZZgQ6aNmQc2dawtXeQ==" saltValue="NCZ8wLy2DHSZZ9fmUSSkIg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4"/>
  <sheetViews>
    <sheetView workbookViewId="0">
      <pane ySplit="8" topLeftCell="A244" activePane="bottomLeft" state="frozen"/>
      <selection activeCell="I7" sqref="I7"/>
      <selection pane="bottomLeft" activeCell="I10" sqref="I10:I244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3.28515625" style="14" hidden="1" customWidth="1"/>
    <col min="5" max="5" width="10.28515625" hidden="1" customWidth="1"/>
    <col min="6" max="6" width="19.42578125" hidden="1" customWidth="1"/>
    <col min="7" max="7" width="13.28515625" style="14" hidden="1" customWidth="1"/>
    <col min="8" max="8" width="2.7109375" hidden="1" customWidth="1"/>
    <col min="9" max="9" width="13.2851562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414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100268.31</v>
      </c>
      <c r="D10" s="14">
        <v>186934</v>
      </c>
      <c r="E10">
        <v>-46.36</v>
      </c>
      <c r="F10">
        <v>53.64</v>
      </c>
      <c r="G10" s="14">
        <v>-86665.69</v>
      </c>
      <c r="I10" s="14">
        <f>I45</f>
        <v>0</v>
      </c>
    </row>
    <row r="11" spans="1:9" x14ac:dyDescent="0.25">
      <c r="A11" s="2" t="s">
        <v>16</v>
      </c>
      <c r="B11" s="2" t="s">
        <v>17</v>
      </c>
      <c r="C11" s="14">
        <v>2942404.2</v>
      </c>
      <c r="D11" s="14">
        <v>3260500</v>
      </c>
      <c r="E11">
        <v>-9.76</v>
      </c>
      <c r="F11">
        <v>90.24</v>
      </c>
      <c r="G11" s="14">
        <v>-318095.8</v>
      </c>
      <c r="I11" s="14">
        <f>I58</f>
        <v>3098380</v>
      </c>
    </row>
    <row r="12" spans="1:9" x14ac:dyDescent="0.25">
      <c r="A12" s="2" t="s">
        <v>18</v>
      </c>
      <c r="B12" s="2" t="s">
        <v>19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3042672.51</v>
      </c>
      <c r="D13" s="15">
        <v>3447434</v>
      </c>
      <c r="E13" s="4">
        <v>-11.74</v>
      </c>
      <c r="F13" s="4">
        <v>88.26</v>
      </c>
      <c r="G13" s="15">
        <v>-404761.49</v>
      </c>
      <c r="I13" s="15">
        <f>SUM(I10:I12)</f>
        <v>3098380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C17" s="14">
        <v>-18879.09</v>
      </c>
      <c r="D17" s="14">
        <v>-5545.87</v>
      </c>
      <c r="E17">
        <v>240.42</v>
      </c>
      <c r="F17">
        <v>340.42</v>
      </c>
      <c r="G17" s="14">
        <v>-13333.22</v>
      </c>
      <c r="I17" s="14">
        <f>I76</f>
        <v>-18879.09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-699791.94</v>
      </c>
      <c r="D20" s="14">
        <v>-2010730.88</v>
      </c>
      <c r="E20">
        <v>-65.2</v>
      </c>
      <c r="F20">
        <v>34.799999999999997</v>
      </c>
      <c r="G20" s="14">
        <v>1310938.94</v>
      </c>
      <c r="I20" s="14">
        <f>I122</f>
        <v>-2058384.9999999998</v>
      </c>
    </row>
    <row r="21" spans="1:9" x14ac:dyDescent="0.25">
      <c r="A21" s="3" t="s">
        <v>31</v>
      </c>
      <c r="B21" s="3" t="s">
        <v>32</v>
      </c>
      <c r="C21" s="15">
        <v>-718671.03</v>
      </c>
      <c r="D21" s="15">
        <v>-2016276.75</v>
      </c>
      <c r="E21" s="4">
        <v>-64.36</v>
      </c>
      <c r="F21" s="4">
        <v>35.64</v>
      </c>
      <c r="G21" s="15">
        <v>1297605.72</v>
      </c>
      <c r="I21" s="15">
        <f>I20+I18+I17+I16</f>
        <v>-2077264.0899999999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I23" s="14">
        <f>I135</f>
        <v>0</v>
      </c>
    </row>
    <row r="24" spans="1:9" x14ac:dyDescent="0.25">
      <c r="A24" s="2" t="s">
        <v>35</v>
      </c>
      <c r="B24" s="2" t="s">
        <v>36</v>
      </c>
      <c r="C24" s="14">
        <v>-872331.39</v>
      </c>
      <c r="D24" s="14">
        <v>-1976337.14</v>
      </c>
      <c r="E24">
        <v>-55.86</v>
      </c>
      <c r="F24">
        <v>44.14</v>
      </c>
      <c r="G24" s="14">
        <v>1104005.75</v>
      </c>
      <c r="I24" s="14">
        <f>I197</f>
        <v>-2327762.2760000001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I26" s="14">
        <f>I218</f>
        <v>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1451670.09</v>
      </c>
      <c r="D30" s="16">
        <v>-545179.89</v>
      </c>
      <c r="E30" s="6">
        <v>-366.27</v>
      </c>
      <c r="F30" s="6">
        <v>-266.27</v>
      </c>
      <c r="G30" s="16">
        <v>1996849.98</v>
      </c>
      <c r="I30" s="16">
        <f>I13+I21+I23+I24+I25+I26+I27+I28</f>
        <v>-1306646.3659999999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C32" s="14">
        <v>-3781.23</v>
      </c>
      <c r="D32" s="14">
        <v>-7007.8</v>
      </c>
      <c r="E32">
        <v>-46.04</v>
      </c>
      <c r="F32">
        <v>53.96</v>
      </c>
      <c r="G32" s="14">
        <v>3226.57</v>
      </c>
      <c r="I32" s="14">
        <f>I242</f>
        <v>-906.4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1447888.86</v>
      </c>
      <c r="D34" s="16">
        <v>-552187.68999999994</v>
      </c>
      <c r="E34" s="6">
        <v>-362.21</v>
      </c>
      <c r="F34" s="6">
        <v>-262.20999999999998</v>
      </c>
      <c r="G34" s="16">
        <v>2000076.55</v>
      </c>
      <c r="I34" s="16">
        <f>I30+I32</f>
        <v>-1307552.7659999998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  <c r="C39" s="14">
        <v>94002.5</v>
      </c>
      <c r="D39" s="14">
        <v>186934</v>
      </c>
      <c r="E39">
        <v>-49.71</v>
      </c>
      <c r="F39">
        <v>50.29</v>
      </c>
      <c r="G39" s="14">
        <v>-92931.5</v>
      </c>
    </row>
    <row r="40" spans="1:9" x14ac:dyDescent="0.25">
      <c r="A40" s="2" t="s">
        <v>55</v>
      </c>
      <c r="B40" s="2" t="s">
        <v>56</v>
      </c>
      <c r="C40" s="14">
        <v>5220.78</v>
      </c>
      <c r="G40" s="14">
        <v>5220.78</v>
      </c>
    </row>
    <row r="41" spans="1:9" x14ac:dyDescent="0.25">
      <c r="A41" s="2" t="s">
        <v>57</v>
      </c>
      <c r="B41" s="2" t="s">
        <v>58</v>
      </c>
      <c r="C41" s="14">
        <v>259.77</v>
      </c>
      <c r="G41" s="14">
        <v>259.77</v>
      </c>
    </row>
    <row r="42" spans="1:9" x14ac:dyDescent="0.25">
      <c r="A42" s="2" t="s">
        <v>59</v>
      </c>
      <c r="B42" s="2" t="s">
        <v>60</v>
      </c>
      <c r="C42" s="14">
        <v>278.31</v>
      </c>
      <c r="G42" s="14">
        <v>278.31</v>
      </c>
    </row>
    <row r="43" spans="1:9" x14ac:dyDescent="0.25">
      <c r="A43" s="2" t="s">
        <v>61</v>
      </c>
      <c r="B43" s="2" t="s">
        <v>62</v>
      </c>
    </row>
    <row r="44" spans="1:9" x14ac:dyDescent="0.25">
      <c r="A44" s="2" t="s">
        <v>63</v>
      </c>
      <c r="B44" s="2" t="s">
        <v>64</v>
      </c>
      <c r="C44" s="14">
        <v>506.95</v>
      </c>
      <c r="G44" s="14">
        <v>506.95</v>
      </c>
    </row>
    <row r="45" spans="1:9" x14ac:dyDescent="0.25">
      <c r="A45" s="3" t="s">
        <v>65</v>
      </c>
      <c r="B45" s="3" t="s">
        <v>66</v>
      </c>
      <c r="C45" s="15">
        <v>100268.31</v>
      </c>
      <c r="D45" s="15">
        <v>186934</v>
      </c>
      <c r="E45" s="4">
        <v>-46.36</v>
      </c>
      <c r="F45" s="4">
        <v>53.64</v>
      </c>
      <c r="G45" s="15">
        <v>-86665.69</v>
      </c>
      <c r="I45" s="15">
        <f>SUM(I39:I44)</f>
        <v>0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  <c r="D51" s="14">
        <v>210000</v>
      </c>
      <c r="E51">
        <v>-100</v>
      </c>
      <c r="G51" s="14">
        <v>-210000</v>
      </c>
      <c r="I51" s="14">
        <v>0</v>
      </c>
    </row>
    <row r="52" spans="1:9" x14ac:dyDescent="0.25">
      <c r="A52" s="2" t="s">
        <v>77</v>
      </c>
      <c r="B52" s="2" t="s">
        <v>78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  <c r="C54" s="14">
        <v>2936692.2</v>
      </c>
      <c r="D54" s="14">
        <v>3050500</v>
      </c>
      <c r="E54">
        <v>-3.73</v>
      </c>
      <c r="F54">
        <v>96.27</v>
      </c>
      <c r="G54" s="14">
        <v>-113807.8</v>
      </c>
      <c r="I54" s="14">
        <f>3416880-268500-50000</f>
        <v>3098380</v>
      </c>
    </row>
    <row r="55" spans="1:9" x14ac:dyDescent="0.25">
      <c r="A55" s="2" t="s">
        <v>83</v>
      </c>
      <c r="B55" s="2" t="s">
        <v>84</v>
      </c>
      <c r="C55" s="14">
        <v>5712</v>
      </c>
      <c r="G55" s="14">
        <v>5712</v>
      </c>
    </row>
    <row r="56" spans="1:9" x14ac:dyDescent="0.25">
      <c r="A56" s="2" t="s">
        <v>85</v>
      </c>
      <c r="B56" s="2" t="s">
        <v>86</v>
      </c>
    </row>
    <row r="57" spans="1:9" x14ac:dyDescent="0.25">
      <c r="A57" s="2" t="s">
        <v>87</v>
      </c>
      <c r="B57" s="2" t="s">
        <v>88</v>
      </c>
    </row>
    <row r="58" spans="1:9" x14ac:dyDescent="0.25">
      <c r="A58" s="3" t="s">
        <v>89</v>
      </c>
      <c r="B58" s="3" t="s">
        <v>17</v>
      </c>
      <c r="C58" s="15">
        <v>2942404.2</v>
      </c>
      <c r="D58" s="15">
        <v>3260500</v>
      </c>
      <c r="E58" s="4">
        <v>-9.76</v>
      </c>
      <c r="F58" s="4">
        <v>90.24</v>
      </c>
      <c r="G58" s="15">
        <v>-318095.8</v>
      </c>
      <c r="I58" s="15">
        <f>SUM(I48:I57)</f>
        <v>3098380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</row>
    <row r="62" spans="1:9" x14ac:dyDescent="0.25">
      <c r="A62" s="3" t="s">
        <v>94</v>
      </c>
      <c r="B62" s="3" t="s">
        <v>95</v>
      </c>
      <c r="C62" s="15"/>
      <c r="D62" s="15"/>
      <c r="E62" s="4"/>
      <c r="F62" s="4"/>
      <c r="G62" s="15"/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3042672.51</v>
      </c>
      <c r="D64" s="15">
        <v>3447434</v>
      </c>
      <c r="E64" s="4">
        <v>-11.74</v>
      </c>
      <c r="F64" s="4">
        <v>88.26</v>
      </c>
      <c r="G64" s="15">
        <v>-404761.49</v>
      </c>
      <c r="I64" s="15">
        <f>I62+I58+I45</f>
        <v>3098380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  <c r="C75" s="14">
        <v>-18879.09</v>
      </c>
      <c r="D75" s="14">
        <v>-5545.87</v>
      </c>
      <c r="E75">
        <v>240.42</v>
      </c>
      <c r="F75">
        <v>340.42</v>
      </c>
      <c r="G75" s="14">
        <v>-13333.22</v>
      </c>
      <c r="I75" s="14">
        <v>-18879.09</v>
      </c>
    </row>
    <row r="76" spans="1:9" x14ac:dyDescent="0.25">
      <c r="A76" s="3" t="s">
        <v>116</v>
      </c>
      <c r="B76" s="3" t="s">
        <v>117</v>
      </c>
      <c r="C76" s="15">
        <v>-18879.09</v>
      </c>
      <c r="D76" s="15">
        <v>-5545.87</v>
      </c>
      <c r="E76" s="4">
        <v>240.42</v>
      </c>
      <c r="F76" s="4">
        <v>340.42</v>
      </c>
      <c r="G76" s="15">
        <v>-13333.22</v>
      </c>
      <c r="I76" s="15">
        <f>SUM(I72:I75)</f>
        <v>-18879.09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-990198.27</v>
      </c>
      <c r="D89" s="14">
        <v>-2209816.83</v>
      </c>
      <c r="E89">
        <v>-55.19</v>
      </c>
      <c r="F89">
        <v>44.81</v>
      </c>
      <c r="G89" s="14">
        <v>1219618.56</v>
      </c>
      <c r="I89" s="14">
        <f>-2327744.76+432550/2</f>
        <v>-2111469.7599999998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1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1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1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1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1" x14ac:dyDescent="0.25">
      <c r="A101" s="2" t="s">
        <v>161</v>
      </c>
      <c r="B101" s="2" t="s">
        <v>162</v>
      </c>
      <c r="K101" t="str">
        <f t="shared" si="0"/>
        <v xml:space="preserve"> </v>
      </c>
    </row>
    <row r="102" spans="1:11" x14ac:dyDescent="0.25">
      <c r="A102" s="2" t="s">
        <v>163</v>
      </c>
      <c r="B102" s="2" t="s">
        <v>164</v>
      </c>
      <c r="K102" t="str">
        <f t="shared" si="0"/>
        <v xml:space="preserve"> </v>
      </c>
    </row>
    <row r="103" spans="1:11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1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1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1" x14ac:dyDescent="0.25">
      <c r="A106" s="3" t="s">
        <v>171</v>
      </c>
      <c r="B106" s="3" t="s">
        <v>172</v>
      </c>
      <c r="C106" s="15">
        <v>-990198.27</v>
      </c>
      <c r="D106" s="15">
        <v>-2209816.83</v>
      </c>
      <c r="E106" s="4">
        <v>-55.19</v>
      </c>
      <c r="F106" s="4">
        <v>44.81</v>
      </c>
      <c r="G106" s="15">
        <v>1219618.56</v>
      </c>
      <c r="I106" s="15">
        <f>SUM(I84:I105)</f>
        <v>-2111469.7599999998</v>
      </c>
      <c r="K106" t="str">
        <f t="shared" si="0"/>
        <v xml:space="preserve"> </v>
      </c>
    </row>
    <row r="107" spans="1:11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1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1" x14ac:dyDescent="0.25">
      <c r="A109" s="2" t="s">
        <v>175</v>
      </c>
      <c r="B109" s="2" t="s">
        <v>174</v>
      </c>
      <c r="C109" s="14">
        <v>-158983.09</v>
      </c>
      <c r="D109" s="14">
        <v>-462271.24</v>
      </c>
      <c r="E109">
        <v>-65.61</v>
      </c>
      <c r="F109">
        <v>34.39</v>
      </c>
      <c r="G109" s="14">
        <v>303288.15000000002</v>
      </c>
      <c r="K109" t="str">
        <f t="shared" si="0"/>
        <v xml:space="preserve"> </v>
      </c>
    </row>
    <row r="110" spans="1:11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1" x14ac:dyDescent="0.25">
      <c r="A111" s="3" t="s">
        <v>178</v>
      </c>
      <c r="B111" s="3" t="s">
        <v>179</v>
      </c>
      <c r="C111" s="15">
        <v>-158983.09</v>
      </c>
      <c r="D111" s="15">
        <v>-462271.24</v>
      </c>
      <c r="E111" s="4">
        <v>-65.61</v>
      </c>
      <c r="F111" s="4">
        <v>34.39</v>
      </c>
      <c r="G111" s="15">
        <v>303288.15000000002</v>
      </c>
      <c r="I111" s="15">
        <f>I110+I109</f>
        <v>0</v>
      </c>
      <c r="K111" t="str">
        <f t="shared" si="0"/>
        <v xml:space="preserve"> </v>
      </c>
    </row>
    <row r="112" spans="1:11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443118.42</v>
      </c>
      <c r="D114" s="14">
        <v>557317.18999999994</v>
      </c>
      <c r="E114">
        <v>-20.49</v>
      </c>
      <c r="F114">
        <v>79.510000000000005</v>
      </c>
      <c r="G114" s="14">
        <v>-114198.77</v>
      </c>
      <c r="I114" s="14">
        <v>53084.76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6271</v>
      </c>
      <c r="G115" s="14">
        <v>6271</v>
      </c>
      <c r="I115" s="14">
        <v>0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D119" s="14">
        <v>104040</v>
      </c>
      <c r="E119">
        <v>-100</v>
      </c>
      <c r="G119" s="14">
        <v>-104040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449389.42</v>
      </c>
      <c r="D121" s="15">
        <v>661357.18999999994</v>
      </c>
      <c r="E121" s="4">
        <v>-32.049999999999997</v>
      </c>
      <c r="F121" s="4">
        <v>67.95</v>
      </c>
      <c r="G121" s="15">
        <v>-211967.77</v>
      </c>
      <c r="I121" s="15">
        <f>SUM(I114:I120)</f>
        <v>53084.76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-699791.94</v>
      </c>
      <c r="D122" s="15">
        <v>-2010730.88</v>
      </c>
      <c r="E122" s="4">
        <v>-65.2</v>
      </c>
      <c r="F122" s="4">
        <v>34.799999999999997</v>
      </c>
      <c r="G122" s="15">
        <v>1310938.94</v>
      </c>
      <c r="I122" s="15">
        <f>I121+I111+I106</f>
        <v>-2058384.9999999998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-718671.03</v>
      </c>
      <c r="D124" s="15">
        <v>-2016276.75</v>
      </c>
      <c r="E124" s="4">
        <v>-64.36</v>
      </c>
      <c r="F124" s="4">
        <v>35.64</v>
      </c>
      <c r="G124" s="15">
        <v>1297605.72</v>
      </c>
      <c r="I124" s="15">
        <f>I122+I81+I76+I69</f>
        <v>-2077264.0899999999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2324001.48</v>
      </c>
      <c r="D126" s="15">
        <v>1431157.25</v>
      </c>
      <c r="E126" s="4">
        <v>62.39</v>
      </c>
      <c r="F126" s="4">
        <v>162.38999999999999</v>
      </c>
      <c r="G126" s="15">
        <v>892844.23</v>
      </c>
      <c r="I126" s="15">
        <f>I64+I124</f>
        <v>1021115.9100000001</v>
      </c>
      <c r="K126">
        <f t="shared" si="0"/>
        <v>1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1" x14ac:dyDescent="0.25">
      <c r="A129" s="2" t="s">
        <v>206</v>
      </c>
      <c r="B129" s="2" t="s">
        <v>207</v>
      </c>
      <c r="K129" t="str">
        <f t="shared" si="0"/>
        <v xml:space="preserve"> </v>
      </c>
    </row>
    <row r="130" spans="1:11" x14ac:dyDescent="0.25">
      <c r="A130" s="2" t="s">
        <v>208</v>
      </c>
      <c r="B130" s="2" t="s">
        <v>209</v>
      </c>
      <c r="K130" t="str">
        <f t="shared" si="0"/>
        <v xml:space="preserve"> </v>
      </c>
    </row>
    <row r="131" spans="1:11" x14ac:dyDescent="0.25">
      <c r="A131" s="2" t="s">
        <v>210</v>
      </c>
      <c r="B131" s="2" t="s">
        <v>211</v>
      </c>
      <c r="K131" t="str">
        <f t="shared" si="0"/>
        <v xml:space="preserve"> </v>
      </c>
    </row>
    <row r="132" spans="1:11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1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1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1" x14ac:dyDescent="0.25">
      <c r="A135" s="3" t="s">
        <v>218</v>
      </c>
      <c r="B135" s="3" t="s">
        <v>219</v>
      </c>
      <c r="C135" s="15"/>
      <c r="D135" s="15"/>
      <c r="E135" s="4"/>
      <c r="F135" s="4"/>
      <c r="G135" s="15"/>
      <c r="I135" s="15">
        <f>SUM(I129:I134)</f>
        <v>0</v>
      </c>
      <c r="K135" t="str">
        <f t="shared" si="0"/>
        <v xml:space="preserve"> </v>
      </c>
    </row>
    <row r="136" spans="1:11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1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1" x14ac:dyDescent="0.25">
      <c r="A138" s="2" t="s">
        <v>222</v>
      </c>
      <c r="B138" s="2" t="s">
        <v>223</v>
      </c>
      <c r="K138" t="str">
        <f t="shared" si="0"/>
        <v xml:space="preserve"> </v>
      </c>
    </row>
    <row r="139" spans="1:11" x14ac:dyDescent="0.25">
      <c r="A139" s="2" t="s">
        <v>224</v>
      </c>
      <c r="B139" s="2" t="s">
        <v>225</v>
      </c>
      <c r="K139" t="str">
        <f t="shared" si="0"/>
        <v xml:space="preserve"> </v>
      </c>
    </row>
    <row r="140" spans="1:11" x14ac:dyDescent="0.25">
      <c r="A140" s="2" t="s">
        <v>226</v>
      </c>
      <c r="B140" s="2" t="s">
        <v>227</v>
      </c>
      <c r="C140" s="14">
        <v>-17999.689999999999</v>
      </c>
      <c r="D140" s="14">
        <v>-71463.72</v>
      </c>
      <c r="E140">
        <v>-74.81</v>
      </c>
      <c r="F140">
        <v>25.19</v>
      </c>
      <c r="G140" s="14">
        <v>53464.03</v>
      </c>
      <c r="I140" s="14">
        <f>I89*0.1</f>
        <v>-211146.976</v>
      </c>
      <c r="K140" t="str">
        <f t="shared" si="0"/>
        <v xml:space="preserve"> </v>
      </c>
    </row>
    <row r="141" spans="1:11" x14ac:dyDescent="0.25">
      <c r="A141" s="2" t="s">
        <v>228</v>
      </c>
      <c r="B141" s="2" t="s">
        <v>229</v>
      </c>
      <c r="K141" t="str">
        <f t="shared" si="0"/>
        <v xml:space="preserve"> </v>
      </c>
    </row>
    <row r="142" spans="1:11" x14ac:dyDescent="0.25">
      <c r="A142" s="2" t="s">
        <v>230</v>
      </c>
      <c r="B142" s="2" t="s">
        <v>231</v>
      </c>
      <c r="C142" s="14">
        <v>-4255.62</v>
      </c>
      <c r="D142" s="14">
        <v>-5045</v>
      </c>
      <c r="E142">
        <v>-15.65</v>
      </c>
      <c r="F142">
        <v>84.35</v>
      </c>
      <c r="G142" s="14">
        <v>789.38</v>
      </c>
      <c r="I142" s="14">
        <v>-5045</v>
      </c>
      <c r="K142" t="str">
        <f t="shared" si="0"/>
        <v xml:space="preserve"> </v>
      </c>
    </row>
    <row r="143" spans="1:11" x14ac:dyDescent="0.25">
      <c r="A143" s="2" t="s">
        <v>232</v>
      </c>
      <c r="B143" s="2" t="s">
        <v>233</v>
      </c>
      <c r="C143" s="14">
        <v>-1721.98</v>
      </c>
      <c r="D143" s="14">
        <v>-10090</v>
      </c>
      <c r="E143">
        <v>-82.93</v>
      </c>
      <c r="F143">
        <v>17.07</v>
      </c>
      <c r="G143" s="14">
        <v>8368.02</v>
      </c>
      <c r="I143" s="14">
        <v>-10090</v>
      </c>
      <c r="K143" t="str">
        <f t="shared" si="0"/>
        <v xml:space="preserve"> </v>
      </c>
    </row>
    <row r="144" spans="1:11" x14ac:dyDescent="0.25">
      <c r="A144" s="2" t="s">
        <v>234</v>
      </c>
      <c r="B144" s="2" t="s">
        <v>235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D145" s="14">
        <v>-5057.1099999999997</v>
      </c>
      <c r="E145">
        <v>-100</v>
      </c>
      <c r="G145" s="14">
        <v>5057.1099999999997</v>
      </c>
      <c r="I145" s="14">
        <f>-5057.11</f>
        <v>-5057.1099999999997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C146" s="14">
        <v>-44</v>
      </c>
      <c r="D146" s="14">
        <v>-8072</v>
      </c>
      <c r="E146">
        <v>-99.45</v>
      </c>
      <c r="F146">
        <v>0.55000000000000004</v>
      </c>
      <c r="G146" s="14">
        <v>8028</v>
      </c>
      <c r="I146" s="14">
        <f>-8072</f>
        <v>-8072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-121239.5</v>
      </c>
      <c r="G147" s="14">
        <v>-121239.5</v>
      </c>
      <c r="I147" s="14">
        <v>-50000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D148" s="14">
        <v>-50450</v>
      </c>
      <c r="E148">
        <v>-100</v>
      </c>
      <c r="G148" s="14">
        <v>50450</v>
      </c>
      <c r="I148" s="14">
        <v>-20000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D150" s="14">
        <v>-131170</v>
      </c>
      <c r="E150">
        <v>-100</v>
      </c>
      <c r="G150" s="14">
        <v>131170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C151" s="14">
        <v>-11923.63</v>
      </c>
      <c r="D151" s="14">
        <v>-50000</v>
      </c>
      <c r="E151">
        <v>-76.150000000000006</v>
      </c>
      <c r="F151">
        <v>23.85</v>
      </c>
      <c r="G151" s="14">
        <v>38076.370000000003</v>
      </c>
      <c r="I151" s="14">
        <v>-100000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C154" s="14">
        <v>-5880</v>
      </c>
      <c r="G154" s="14">
        <v>-5880</v>
      </c>
      <c r="I154" s="14">
        <v>-5880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D155" s="14">
        <v>-1513.5</v>
      </c>
      <c r="E155">
        <v>-100</v>
      </c>
      <c r="G155" s="14">
        <v>1513.5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I158" s="14">
        <v>0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C161" s="14">
        <v>-308663.82</v>
      </c>
      <c r="D161" s="14">
        <v>-655850</v>
      </c>
      <c r="E161">
        <v>-52.94</v>
      </c>
      <c r="F161">
        <v>47.06</v>
      </c>
      <c r="G161" s="14">
        <v>347186.18</v>
      </c>
      <c r="I161" s="14">
        <v>-1000000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C162" s="14">
        <v>-6068.67</v>
      </c>
      <c r="D162" s="14">
        <v>-12108</v>
      </c>
      <c r="E162">
        <v>-49.88</v>
      </c>
      <c r="F162">
        <v>50.12</v>
      </c>
      <c r="G162" s="14">
        <v>6039.33</v>
      </c>
      <c r="I162" s="14">
        <v>-12108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C163" s="14">
        <v>-100533.7</v>
      </c>
      <c r="D163" s="14">
        <v>-201800</v>
      </c>
      <c r="E163">
        <v>-50.18</v>
      </c>
      <c r="F163">
        <v>49.82</v>
      </c>
      <c r="G163" s="14">
        <v>101266.3</v>
      </c>
      <c r="I163" s="14">
        <v>-201800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D165" s="14">
        <v>-5045</v>
      </c>
      <c r="E165">
        <v>-100</v>
      </c>
      <c r="G165" s="14">
        <v>5045</v>
      </c>
      <c r="I165" s="14">
        <v>-5045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C166" s="14">
        <v>123069.87</v>
      </c>
      <c r="D166" s="14">
        <v>392887.99</v>
      </c>
      <c r="E166">
        <v>-68.680000000000007</v>
      </c>
      <c r="F166">
        <v>31.32</v>
      </c>
      <c r="G166" s="14">
        <v>-269818.12</v>
      </c>
      <c r="I166" s="14">
        <v>392887.99</v>
      </c>
      <c r="K166">
        <f t="shared" si="1"/>
        <v>1</v>
      </c>
    </row>
    <row r="167" spans="1:11" x14ac:dyDescent="0.25">
      <c r="A167" s="2" t="s">
        <v>280</v>
      </c>
      <c r="B167" s="2" t="s">
        <v>281</v>
      </c>
      <c r="C167" s="14">
        <v>-10978.98</v>
      </c>
      <c r="G167" s="14">
        <v>-10978.98</v>
      </c>
      <c r="I167" s="14">
        <v>-10978.98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-2925</v>
      </c>
      <c r="G168" s="14">
        <v>-2925</v>
      </c>
      <c r="I168" s="14">
        <v>-2925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C171" s="14">
        <v>-1012.4</v>
      </c>
      <c r="G171" s="14">
        <v>-1012.4</v>
      </c>
      <c r="I171" s="14">
        <v>-1012.4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-1043.48</v>
      </c>
      <c r="D173" s="14">
        <v>-4036</v>
      </c>
      <c r="E173">
        <v>-74.150000000000006</v>
      </c>
      <c r="F173">
        <v>25.85</v>
      </c>
      <c r="G173" s="14">
        <v>2992.52</v>
      </c>
      <c r="I173" s="14">
        <v>-4036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D174" s="14">
        <v>-10090</v>
      </c>
      <c r="E174">
        <v>-100</v>
      </c>
      <c r="G174" s="14">
        <v>10090</v>
      </c>
      <c r="I174" s="14">
        <v>-30000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-4364.8</v>
      </c>
      <c r="G176" s="14">
        <v>-4364.8</v>
      </c>
      <c r="I176" s="14">
        <v>-4364.8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C177" s="14">
        <v>-22000</v>
      </c>
      <c r="D177" s="14">
        <v>-10090</v>
      </c>
      <c r="E177">
        <v>118.04</v>
      </c>
      <c r="F177">
        <v>218.04</v>
      </c>
      <c r="G177" s="14">
        <v>-11910</v>
      </c>
      <c r="I177" s="14">
        <v>-20000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C178" s="14">
        <v>-551</v>
      </c>
      <c r="D178" s="14">
        <v>-1009</v>
      </c>
      <c r="E178">
        <v>-45.39</v>
      </c>
      <c r="F178">
        <v>54.61</v>
      </c>
      <c r="G178" s="14">
        <v>458</v>
      </c>
      <c r="I178" s="14">
        <v>-1009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D180" s="14">
        <v>-20180</v>
      </c>
      <c r="E180">
        <v>-100</v>
      </c>
      <c r="G180" s="14">
        <v>20180</v>
      </c>
      <c r="I180" s="14">
        <v>-20180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C181" s="14">
        <v>-1250</v>
      </c>
      <c r="D181" s="14">
        <v>-171530</v>
      </c>
      <c r="E181">
        <v>-99.27</v>
      </c>
      <c r="F181">
        <v>0.73</v>
      </c>
      <c r="G181" s="14">
        <v>170280</v>
      </c>
      <c r="I181" s="14">
        <v>-171530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C184" s="14">
        <v>-1259.1400000000001</v>
      </c>
      <c r="D184" s="14">
        <v>-20180</v>
      </c>
      <c r="E184">
        <v>-93.76</v>
      </c>
      <c r="F184">
        <v>6.24</v>
      </c>
      <c r="G184" s="14">
        <v>18920.86</v>
      </c>
      <c r="I184" s="14">
        <v>-20180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D185" s="14">
        <v>-5045</v>
      </c>
      <c r="E185">
        <v>-100</v>
      </c>
      <c r="G185" s="14">
        <v>5045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-26420</v>
      </c>
      <c r="D186" s="14">
        <v>-10090</v>
      </c>
      <c r="E186">
        <v>161.84</v>
      </c>
      <c r="F186">
        <v>261.83999999999997</v>
      </c>
      <c r="G186" s="14">
        <v>-16330</v>
      </c>
      <c r="I186" s="14">
        <f>-10090</f>
        <v>-10090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C187" s="14">
        <v>-123.32</v>
      </c>
      <c r="D187" s="14">
        <v>-1210.8</v>
      </c>
      <c r="E187">
        <v>-89.81</v>
      </c>
      <c r="F187">
        <v>10.19</v>
      </c>
      <c r="G187" s="14">
        <v>1087.48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-255376.09</v>
      </c>
      <c r="D188" s="14">
        <v>-807200</v>
      </c>
      <c r="E188">
        <v>-68.36</v>
      </c>
      <c r="F188">
        <v>31.64</v>
      </c>
      <c r="G188" s="14">
        <v>551823.91</v>
      </c>
      <c r="I188" s="14">
        <f>-807200+50000+18000+10000+20000+20000</f>
        <v>-689200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C192" s="14">
        <v>-89766.44</v>
      </c>
      <c r="D192" s="14">
        <v>-100900</v>
      </c>
      <c r="E192">
        <v>-11.03</v>
      </c>
      <c r="F192">
        <v>88.97</v>
      </c>
      <c r="G192" s="14">
        <v>11133.56</v>
      </c>
      <c r="I192" s="14">
        <v>-100900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-872331.39</v>
      </c>
      <c r="D197" s="15">
        <v>-1976337.14</v>
      </c>
      <c r="E197" s="4">
        <v>-55.86</v>
      </c>
      <c r="F197" s="4">
        <v>44.14</v>
      </c>
      <c r="G197" s="15">
        <v>1104005.75</v>
      </c>
      <c r="I197" s="15">
        <f>SUM(I138:I196)</f>
        <v>-2327762.2760000001</v>
      </c>
      <c r="K197" t="str">
        <f t="shared" si="1"/>
        <v xml:space="preserve"> 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/>
      <c r="D218" s="15"/>
      <c r="E218" s="4"/>
      <c r="F218" s="4"/>
      <c r="G218" s="15"/>
      <c r="I218" s="15">
        <f>SUM(I211:I217)</f>
        <v>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1451670.09</v>
      </c>
      <c r="D228" s="16">
        <v>-545179.89</v>
      </c>
      <c r="E228" s="6">
        <v>-366.27</v>
      </c>
      <c r="F228" s="6">
        <v>-266.27</v>
      </c>
      <c r="G228" s="16">
        <v>1996849.98</v>
      </c>
      <c r="I228" s="16">
        <f>I126+I135+I197+I208+I218+I222+I226</f>
        <v>-1306646.3659999999</v>
      </c>
      <c r="K228" t="str">
        <f t="shared" si="2"/>
        <v xml:space="preserve"> 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1451670.09</v>
      </c>
      <c r="D236" s="16">
        <v>-545179.89</v>
      </c>
      <c r="E236" s="6">
        <v>-366.27</v>
      </c>
      <c r="F236" s="6">
        <v>-266.27</v>
      </c>
      <c r="G236" s="16">
        <v>1996849.98</v>
      </c>
      <c r="I236" s="16">
        <f>I228+I234</f>
        <v>-1306646.3659999999</v>
      </c>
      <c r="K236" t="str">
        <f t="shared" si="2"/>
        <v xml:space="preserve"> 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C240" s="14">
        <v>-3781.23</v>
      </c>
      <c r="D240" s="14">
        <v>-7007.8</v>
      </c>
      <c r="E240">
        <v>-46.04</v>
      </c>
      <c r="F240">
        <v>53.96</v>
      </c>
      <c r="G240" s="14">
        <v>3226.57</v>
      </c>
      <c r="I240" s="14">
        <v>-906.4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>
        <v>-3781.23</v>
      </c>
      <c r="D242" s="15">
        <v>-7007.8</v>
      </c>
      <c r="E242" s="4">
        <v>-46.04</v>
      </c>
      <c r="F242" s="4">
        <v>53.96</v>
      </c>
      <c r="G242" s="15">
        <v>3226.57</v>
      </c>
      <c r="I242" s="15">
        <f>SUM(I238:I241)</f>
        <v>-906.4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1447888.86</v>
      </c>
      <c r="D244" s="16">
        <v>-552187.68999999994</v>
      </c>
      <c r="E244" s="6">
        <v>-362.21</v>
      </c>
      <c r="F244" s="6">
        <v>-262.20999999999998</v>
      </c>
      <c r="G244" s="16">
        <v>2000076.55</v>
      </c>
      <c r="I244" s="16">
        <f>I236+I242</f>
        <v>-1307552.7659999998</v>
      </c>
      <c r="K244" t="str">
        <f t="shared" si="2"/>
        <v xml:space="preserve"> </v>
      </c>
    </row>
  </sheetData>
  <sheetProtection algorithmName="SHA-512" hashValue="g6e0iFIXtLnClRWlj2SsnR22/CRt8trjDUK55KxB1e+NsPOngoPW9iTvKqXaBiUGEYh7f8Of0mhJtgpgucHSQA==" saltValue="8c+DbUJxyyQAQ1eEnf6FE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topLeftCell="A70" workbookViewId="0">
      <selection activeCell="I90" sqref="I90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3.28515625" style="14" hidden="1" customWidth="1"/>
    <col min="5" max="5" width="10.28515625" hidden="1" customWidth="1"/>
    <col min="6" max="6" width="19.42578125" hidden="1" customWidth="1"/>
    <col min="7" max="7" width="13.28515625" style="14" hidden="1" customWidth="1"/>
    <col min="8" max="8" width="2.7109375" hidden="1" customWidth="1"/>
    <col min="9" max="9" width="13.2851562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415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3762942.26</v>
      </c>
      <c r="D10" s="14">
        <v>8174884</v>
      </c>
      <c r="E10">
        <v>-53.97</v>
      </c>
      <c r="F10">
        <v>46.03</v>
      </c>
      <c r="G10" s="14">
        <v>-4411941.74</v>
      </c>
      <c r="I10" s="14">
        <f>I45</f>
        <v>8760598</v>
      </c>
    </row>
    <row r="11" spans="1:9" x14ac:dyDescent="0.25">
      <c r="A11" s="2" t="s">
        <v>16</v>
      </c>
      <c r="B11" s="2" t="s">
        <v>17</v>
      </c>
      <c r="C11" s="14">
        <v>144124.24</v>
      </c>
      <c r="D11" s="14">
        <v>468162</v>
      </c>
      <c r="E11">
        <v>-69.209999999999994</v>
      </c>
      <c r="F11">
        <v>30.79</v>
      </c>
      <c r="G11" s="14">
        <v>-324037.76000000001</v>
      </c>
      <c r="I11" s="14">
        <f>I58</f>
        <v>218162</v>
      </c>
    </row>
    <row r="12" spans="1:9" x14ac:dyDescent="0.25">
      <c r="A12" s="2" t="s">
        <v>18</v>
      </c>
      <c r="B12" s="2" t="s">
        <v>19</v>
      </c>
      <c r="I12" s="14">
        <f>I62</f>
        <v>0</v>
      </c>
    </row>
    <row r="13" spans="1:9" x14ac:dyDescent="0.25">
      <c r="A13" s="3" t="s">
        <v>20</v>
      </c>
      <c r="B13" s="3" t="s">
        <v>21</v>
      </c>
      <c r="C13" s="15">
        <v>3907066.5</v>
      </c>
      <c r="D13" s="15">
        <v>8643046</v>
      </c>
      <c r="E13" s="4">
        <v>-54.8</v>
      </c>
      <c r="F13" s="4">
        <v>45.2</v>
      </c>
      <c r="G13" s="15">
        <v>-4735979.5</v>
      </c>
      <c r="I13" s="15">
        <f>SUM(I10:I12)</f>
        <v>8978760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C17" s="14">
        <v>-14470.5</v>
      </c>
      <c r="D17" s="14">
        <v>-36000</v>
      </c>
      <c r="E17">
        <v>-59.8</v>
      </c>
      <c r="F17">
        <v>40.200000000000003</v>
      </c>
      <c r="G17" s="14">
        <v>21529.5</v>
      </c>
      <c r="I17" s="14">
        <f>I76</f>
        <v>-36000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-3283739.17</v>
      </c>
      <c r="D20" s="14">
        <v>-5865498.46</v>
      </c>
      <c r="E20">
        <v>-44.02</v>
      </c>
      <c r="F20">
        <v>55.98</v>
      </c>
      <c r="G20" s="14">
        <v>2581759.29</v>
      </c>
      <c r="I20" s="14">
        <f>I122</f>
        <v>-5863995.9900000002</v>
      </c>
    </row>
    <row r="21" spans="1:9" x14ac:dyDescent="0.25">
      <c r="A21" s="3" t="s">
        <v>31</v>
      </c>
      <c r="B21" s="3" t="s">
        <v>32</v>
      </c>
      <c r="C21" s="15">
        <v>-3298209.67</v>
      </c>
      <c r="D21" s="15">
        <v>-5901498.46</v>
      </c>
      <c r="E21" s="4">
        <v>-44.11</v>
      </c>
      <c r="F21" s="4">
        <v>55.89</v>
      </c>
      <c r="G21" s="15">
        <v>2603288.79</v>
      </c>
      <c r="I21" s="15">
        <f>I20+I18+I17+I16</f>
        <v>-5899995.9900000002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C23" s="14">
        <v>26790</v>
      </c>
      <c r="D23" s="14">
        <v>116100</v>
      </c>
      <c r="E23">
        <v>-76.930000000000007</v>
      </c>
      <c r="F23">
        <v>23.07</v>
      </c>
      <c r="G23" s="14">
        <v>-89310</v>
      </c>
      <c r="I23" s="14">
        <f>I135</f>
        <v>50000</v>
      </c>
    </row>
    <row r="24" spans="1:9" x14ac:dyDescent="0.25">
      <c r="A24" s="2" t="s">
        <v>35</v>
      </c>
      <c r="B24" s="2" t="s">
        <v>36</v>
      </c>
      <c r="C24" s="14">
        <v>-1993245.31</v>
      </c>
      <c r="D24" s="14">
        <v>-3817721.62</v>
      </c>
      <c r="E24">
        <v>-47.79</v>
      </c>
      <c r="F24">
        <v>52.21</v>
      </c>
      <c r="G24" s="14">
        <v>1824476.31</v>
      </c>
      <c r="I24" s="14">
        <f>I197</f>
        <v>-4620845.3635999998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I26" s="14">
        <f>I218</f>
        <v>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-1357598.48</v>
      </c>
      <c r="D30" s="16">
        <v>-960074.08</v>
      </c>
      <c r="E30" s="6">
        <v>41.41</v>
      </c>
      <c r="F30" s="6">
        <v>141.41</v>
      </c>
      <c r="G30" s="16">
        <v>-397524.4</v>
      </c>
      <c r="I30" s="16">
        <f>I13+I21+I23+I24+I25+I26+I27+I28</f>
        <v>-1492081.3536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C32" s="14">
        <v>-170909.12</v>
      </c>
      <c r="D32" s="14">
        <v>-341818.27</v>
      </c>
      <c r="E32">
        <v>-50</v>
      </c>
      <c r="F32">
        <v>50</v>
      </c>
      <c r="G32" s="14">
        <v>170909.15</v>
      </c>
      <c r="I32" s="14">
        <f>I242</f>
        <v>-309360.44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-1528507.6</v>
      </c>
      <c r="D34" s="16">
        <v>-1301892.3500000001</v>
      </c>
      <c r="E34" s="6">
        <v>17.41</v>
      </c>
      <c r="F34" s="6">
        <v>117.41</v>
      </c>
      <c r="G34" s="16">
        <v>-226615.25</v>
      </c>
      <c r="I34" s="16">
        <f>I30+I32</f>
        <v>-1801441.7936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  <c r="C39" s="14">
        <v>2690560.04</v>
      </c>
      <c r="D39" s="14">
        <v>5251146</v>
      </c>
      <c r="E39">
        <v>-48.76</v>
      </c>
      <c r="F39">
        <v>51.24</v>
      </c>
      <c r="G39" s="14">
        <v>-2560585.96</v>
      </c>
      <c r="I39" s="14">
        <f>5821860+39912</f>
        <v>5861772</v>
      </c>
    </row>
    <row r="40" spans="1:9" x14ac:dyDescent="0.25">
      <c r="A40" s="2" t="s">
        <v>55</v>
      </c>
      <c r="B40" s="2" t="s">
        <v>56</v>
      </c>
      <c r="C40" s="14">
        <v>149430.26999999999</v>
      </c>
      <c r="D40" s="14">
        <v>241050</v>
      </c>
      <c r="E40">
        <v>-38.01</v>
      </c>
      <c r="F40">
        <v>61.99</v>
      </c>
      <c r="G40" s="14">
        <v>-91619.73</v>
      </c>
      <c r="I40" s="14">
        <v>473946</v>
      </c>
    </row>
    <row r="41" spans="1:9" x14ac:dyDescent="0.25">
      <c r="A41" s="2" t="s">
        <v>57</v>
      </c>
      <c r="B41" s="2" t="s">
        <v>58</v>
      </c>
      <c r="C41" s="14">
        <v>7435.86</v>
      </c>
      <c r="D41" s="14">
        <v>84280</v>
      </c>
      <c r="E41">
        <v>-91.18</v>
      </c>
      <c r="F41">
        <v>8.82</v>
      </c>
      <c r="G41" s="14">
        <v>-76844.14</v>
      </c>
      <c r="I41" s="14">
        <v>87600</v>
      </c>
    </row>
    <row r="42" spans="1:9" x14ac:dyDescent="0.25">
      <c r="A42" s="2" t="s">
        <v>59</v>
      </c>
      <c r="B42" s="2" t="s">
        <v>60</v>
      </c>
      <c r="C42" s="14">
        <v>7965.99</v>
      </c>
      <c r="D42" s="14">
        <v>812328</v>
      </c>
      <c r="E42">
        <v>-99.02</v>
      </c>
      <c r="F42">
        <v>0.98</v>
      </c>
      <c r="G42" s="14">
        <v>-804362.01</v>
      </c>
      <c r="I42" s="14">
        <v>47980</v>
      </c>
    </row>
    <row r="43" spans="1:9" x14ac:dyDescent="0.25">
      <c r="A43" s="2" t="s">
        <v>61</v>
      </c>
      <c r="B43" s="2" t="s">
        <v>62</v>
      </c>
      <c r="C43" s="14">
        <v>893040</v>
      </c>
      <c r="D43" s="14">
        <v>1786080</v>
      </c>
      <c r="E43">
        <v>-50</v>
      </c>
      <c r="F43">
        <v>50</v>
      </c>
      <c r="G43" s="14">
        <v>-893040</v>
      </c>
      <c r="I43" s="14">
        <f>1884540+404760</f>
        <v>2289300</v>
      </c>
    </row>
    <row r="44" spans="1:9" x14ac:dyDescent="0.25">
      <c r="A44" s="2" t="s">
        <v>63</v>
      </c>
      <c r="B44" s="2" t="s">
        <v>64</v>
      </c>
      <c r="C44" s="14">
        <v>14510.1</v>
      </c>
      <c r="G44" s="14">
        <v>14510.1</v>
      </c>
    </row>
    <row r="45" spans="1:9" x14ac:dyDescent="0.25">
      <c r="A45" s="3" t="s">
        <v>65</v>
      </c>
      <c r="B45" s="3" t="s">
        <v>66</v>
      </c>
      <c r="C45" s="15">
        <v>3762942.26</v>
      </c>
      <c r="D45" s="15">
        <v>8174884</v>
      </c>
      <c r="E45" s="4">
        <v>-53.97</v>
      </c>
      <c r="F45" s="4">
        <v>46.03</v>
      </c>
      <c r="G45" s="15">
        <v>-4411941.74</v>
      </c>
      <c r="I45" s="15">
        <f>SUM(I39:I44)</f>
        <v>8760598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  <c r="D51" s="14">
        <v>18162</v>
      </c>
      <c r="E51">
        <v>-100</v>
      </c>
      <c r="G51" s="14">
        <v>-18162</v>
      </c>
      <c r="I51" s="14">
        <v>18162</v>
      </c>
    </row>
    <row r="52" spans="1:9" x14ac:dyDescent="0.25">
      <c r="A52" s="2" t="s">
        <v>77</v>
      </c>
      <c r="B52" s="2" t="s">
        <v>78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  <c r="C54" s="14">
        <v>110649.44</v>
      </c>
      <c r="D54" s="14">
        <v>150000</v>
      </c>
      <c r="E54">
        <v>-26.23</v>
      </c>
      <c r="F54">
        <v>73.77</v>
      </c>
      <c r="G54" s="14">
        <v>-39350.559999999998</v>
      </c>
      <c r="I54" s="14">
        <v>150000</v>
      </c>
    </row>
    <row r="55" spans="1:9" x14ac:dyDescent="0.25">
      <c r="A55" s="2" t="s">
        <v>83</v>
      </c>
      <c r="B55" s="2" t="s">
        <v>84</v>
      </c>
      <c r="C55" s="14">
        <v>33474.800000000003</v>
      </c>
      <c r="D55" s="14">
        <v>50000</v>
      </c>
      <c r="E55">
        <v>-33.049999999999997</v>
      </c>
      <c r="F55">
        <v>66.95</v>
      </c>
      <c r="G55" s="14">
        <v>-16525.2</v>
      </c>
      <c r="I55" s="14">
        <v>50000</v>
      </c>
    </row>
    <row r="56" spans="1:9" x14ac:dyDescent="0.25">
      <c r="A56" s="2" t="s">
        <v>85</v>
      </c>
      <c r="B56" s="2" t="s">
        <v>86</v>
      </c>
    </row>
    <row r="57" spans="1:9" x14ac:dyDescent="0.25">
      <c r="A57" s="2" t="s">
        <v>87</v>
      </c>
      <c r="B57" s="2" t="s">
        <v>88</v>
      </c>
      <c r="D57" s="14">
        <v>250000</v>
      </c>
      <c r="E57">
        <v>-100</v>
      </c>
      <c r="G57" s="14">
        <v>-250000</v>
      </c>
    </row>
    <row r="58" spans="1:9" x14ac:dyDescent="0.25">
      <c r="A58" s="3" t="s">
        <v>89</v>
      </c>
      <c r="B58" s="3" t="s">
        <v>17</v>
      </c>
      <c r="C58" s="15">
        <v>144124.24</v>
      </c>
      <c r="D58" s="15">
        <v>468162</v>
      </c>
      <c r="E58" s="4">
        <v>-69.209999999999994</v>
      </c>
      <c r="F58" s="4">
        <v>30.79</v>
      </c>
      <c r="G58" s="15">
        <v>-324037.76000000001</v>
      </c>
      <c r="I58" s="15">
        <f>SUM(I48:I57)</f>
        <v>218162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</row>
    <row r="62" spans="1:9" x14ac:dyDescent="0.25">
      <c r="A62" s="3" t="s">
        <v>94</v>
      </c>
      <c r="B62" s="3" t="s">
        <v>95</v>
      </c>
      <c r="C62" s="15"/>
      <c r="D62" s="15"/>
      <c r="E62" s="4"/>
      <c r="F62" s="4"/>
      <c r="G62" s="15"/>
      <c r="I62" s="15">
        <f>I61</f>
        <v>0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3907066.5</v>
      </c>
      <c r="D64" s="15">
        <v>8643046</v>
      </c>
      <c r="E64" s="4">
        <v>-54.8</v>
      </c>
      <c r="F64" s="4">
        <v>45.2</v>
      </c>
      <c r="G64" s="15">
        <v>-4735979.5</v>
      </c>
      <c r="I64" s="15">
        <f>I62+I58+I45</f>
        <v>8978760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</row>
    <row r="73" spans="1:9" x14ac:dyDescent="0.25">
      <c r="A73" s="2" t="s">
        <v>110</v>
      </c>
      <c r="B73" s="2" t="s">
        <v>111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  <c r="C75" s="14">
        <v>-14470.5</v>
      </c>
      <c r="D75" s="14">
        <v>-36000</v>
      </c>
      <c r="E75">
        <v>-59.8</v>
      </c>
      <c r="F75">
        <v>40.200000000000003</v>
      </c>
      <c r="G75" s="14">
        <v>21529.5</v>
      </c>
      <c r="I75" s="14">
        <v>-36000</v>
      </c>
    </row>
    <row r="76" spans="1:9" x14ac:dyDescent="0.25">
      <c r="A76" s="3" t="s">
        <v>116</v>
      </c>
      <c r="B76" s="3" t="s">
        <v>117</v>
      </c>
      <c r="C76" s="15">
        <v>-14470.5</v>
      </c>
      <c r="D76" s="15">
        <v>-36000</v>
      </c>
      <c r="E76" s="4">
        <v>-59.8</v>
      </c>
      <c r="F76" s="4">
        <v>40.200000000000003</v>
      </c>
      <c r="G76" s="15">
        <v>21529.5</v>
      </c>
      <c r="I76" s="15">
        <f>SUM(I72:I75)</f>
        <v>-36000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-3209777.94</v>
      </c>
      <c r="D89" s="14">
        <v>-5677559.3200000003</v>
      </c>
      <c r="E89">
        <v>-43.47</v>
      </c>
      <c r="F89">
        <v>56.53</v>
      </c>
      <c r="G89" s="14">
        <v>2467781.38</v>
      </c>
      <c r="I89" s="14">
        <f>-5909252.19-105000</f>
        <v>-6014252.1900000004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I92" s="14">
        <v>-175950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1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1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1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1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1" x14ac:dyDescent="0.25">
      <c r="A101" s="2" t="s">
        <v>161</v>
      </c>
      <c r="B101" s="2" t="s">
        <v>162</v>
      </c>
      <c r="K101" t="str">
        <f t="shared" si="0"/>
        <v xml:space="preserve"> </v>
      </c>
    </row>
    <row r="102" spans="1:11" x14ac:dyDescent="0.25">
      <c r="A102" s="2" t="s">
        <v>163</v>
      </c>
      <c r="B102" s="2" t="s">
        <v>164</v>
      </c>
      <c r="K102" t="str">
        <f t="shared" si="0"/>
        <v xml:space="preserve"> </v>
      </c>
    </row>
    <row r="103" spans="1:11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1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1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1" x14ac:dyDescent="0.25">
      <c r="A106" s="3" t="s">
        <v>171</v>
      </c>
      <c r="B106" s="3" t="s">
        <v>172</v>
      </c>
      <c r="C106" s="15">
        <v>-3209777.94</v>
      </c>
      <c r="D106" s="15">
        <v>-5677559.3200000003</v>
      </c>
      <c r="E106" s="4">
        <v>-43.47</v>
      </c>
      <c r="F106" s="4">
        <v>56.53</v>
      </c>
      <c r="G106" s="15">
        <v>2467781.38</v>
      </c>
      <c r="I106" s="15">
        <f>SUM(I84:I105)</f>
        <v>-6190202.1900000004</v>
      </c>
      <c r="K106" t="str">
        <f t="shared" si="0"/>
        <v xml:space="preserve"> </v>
      </c>
    </row>
    <row r="107" spans="1:11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1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1" x14ac:dyDescent="0.25">
      <c r="A109" s="2" t="s">
        <v>175</v>
      </c>
      <c r="B109" s="2" t="s">
        <v>174</v>
      </c>
      <c r="C109" s="14">
        <v>-511294.33</v>
      </c>
      <c r="D109" s="14">
        <v>-1155085.5</v>
      </c>
      <c r="E109">
        <v>-55.74</v>
      </c>
      <c r="F109">
        <v>44.26</v>
      </c>
      <c r="G109" s="14">
        <v>643791.17000000004</v>
      </c>
      <c r="I109" s="14">
        <v>0</v>
      </c>
      <c r="K109" t="str">
        <f t="shared" si="0"/>
        <v xml:space="preserve"> </v>
      </c>
    </row>
    <row r="110" spans="1:11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1" x14ac:dyDescent="0.25">
      <c r="A111" s="3" t="s">
        <v>178</v>
      </c>
      <c r="B111" s="3" t="s">
        <v>179</v>
      </c>
      <c r="C111" s="15">
        <v>-511294.33</v>
      </c>
      <c r="D111" s="15">
        <v>-1155085.5</v>
      </c>
      <c r="E111" s="4">
        <v>-55.74</v>
      </c>
      <c r="F111" s="4">
        <v>44.26</v>
      </c>
      <c r="G111" s="15">
        <v>643791.17000000004</v>
      </c>
      <c r="I111" s="15">
        <f>I110+I109</f>
        <v>0</v>
      </c>
      <c r="K111" t="str">
        <f t="shared" si="0"/>
        <v xml:space="preserve"> </v>
      </c>
    </row>
    <row r="112" spans="1:11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362780.1</v>
      </c>
      <c r="D114" s="14">
        <v>967146.36</v>
      </c>
      <c r="E114">
        <v>-62.49</v>
      </c>
      <c r="F114">
        <v>37.51</v>
      </c>
      <c r="G114" s="14">
        <v>-604366.26</v>
      </c>
      <c r="I114" s="14">
        <v>326206.2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74553</v>
      </c>
      <c r="G115" s="14">
        <v>74553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437333.1</v>
      </c>
      <c r="D121" s="15">
        <v>967146.36</v>
      </c>
      <c r="E121" s="4">
        <v>-54.78</v>
      </c>
      <c r="F121" s="4">
        <v>45.22</v>
      </c>
      <c r="G121" s="15">
        <v>-529813.26</v>
      </c>
      <c r="I121" s="15">
        <f>SUM(I114:I120)</f>
        <v>326206.2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-3283739.17</v>
      </c>
      <c r="D122" s="15">
        <v>-5865498.46</v>
      </c>
      <c r="E122" s="4">
        <v>-44.02</v>
      </c>
      <c r="F122" s="4">
        <v>55.98</v>
      </c>
      <c r="G122" s="15">
        <v>2581759.29</v>
      </c>
      <c r="I122" s="15">
        <f>I121+I111+I106</f>
        <v>-5863995.9900000002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-3298209.67</v>
      </c>
      <c r="D124" s="15">
        <v>-5901498.46</v>
      </c>
      <c r="E124" s="4">
        <v>-44.11</v>
      </c>
      <c r="F124" s="4">
        <v>55.89</v>
      </c>
      <c r="G124" s="15">
        <v>2603288.79</v>
      </c>
      <c r="I124" s="15">
        <f>I122+I81+I76+I69</f>
        <v>-5899995.9900000002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608856.82999999996</v>
      </c>
      <c r="D126" s="15">
        <v>2741547.54</v>
      </c>
      <c r="E126" s="4">
        <v>-77.790000000000006</v>
      </c>
      <c r="F126" s="4">
        <v>22.21</v>
      </c>
      <c r="G126" s="15">
        <v>-2132690.71</v>
      </c>
      <c r="I126" s="15">
        <f>I64+I124</f>
        <v>3078764.01</v>
      </c>
      <c r="K126">
        <f t="shared" si="0"/>
        <v>1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1" x14ac:dyDescent="0.25">
      <c r="A129" s="2" t="s">
        <v>206</v>
      </c>
      <c r="B129" s="2" t="s">
        <v>207</v>
      </c>
      <c r="C129" s="14">
        <v>26790</v>
      </c>
      <c r="D129" s="14">
        <v>116100</v>
      </c>
      <c r="E129">
        <v>-76.930000000000007</v>
      </c>
      <c r="F129">
        <v>23.07</v>
      </c>
      <c r="G129" s="14">
        <v>-89310</v>
      </c>
      <c r="I129" s="14">
        <v>50000</v>
      </c>
      <c r="K129">
        <f t="shared" si="0"/>
        <v>1</v>
      </c>
    </row>
    <row r="130" spans="1:11" x14ac:dyDescent="0.25">
      <c r="A130" s="2" t="s">
        <v>208</v>
      </c>
      <c r="B130" s="2" t="s">
        <v>209</v>
      </c>
      <c r="K130" t="str">
        <f t="shared" si="0"/>
        <v xml:space="preserve"> </v>
      </c>
    </row>
    <row r="131" spans="1:11" x14ac:dyDescent="0.25">
      <c r="A131" s="2" t="s">
        <v>210</v>
      </c>
      <c r="B131" s="2" t="s">
        <v>211</v>
      </c>
      <c r="K131" t="str">
        <f t="shared" si="0"/>
        <v xml:space="preserve"> </v>
      </c>
    </row>
    <row r="132" spans="1:11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1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1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1" x14ac:dyDescent="0.25">
      <c r="A135" s="3" t="s">
        <v>218</v>
      </c>
      <c r="B135" s="3" t="s">
        <v>219</v>
      </c>
      <c r="C135" s="15">
        <v>26790</v>
      </c>
      <c r="D135" s="15">
        <v>116100</v>
      </c>
      <c r="E135" s="4">
        <v>-76.930000000000007</v>
      </c>
      <c r="F135" s="4">
        <v>23.07</v>
      </c>
      <c r="G135" s="15">
        <v>-89310</v>
      </c>
      <c r="I135" s="15">
        <f>SUM(I129:I134)</f>
        <v>50000</v>
      </c>
      <c r="K135">
        <f t="shared" si="0"/>
        <v>1</v>
      </c>
    </row>
    <row r="136" spans="1:11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1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1" x14ac:dyDescent="0.25">
      <c r="A138" s="2" t="s">
        <v>222</v>
      </c>
      <c r="B138" s="2" t="s">
        <v>223</v>
      </c>
      <c r="K138" t="str">
        <f t="shared" si="0"/>
        <v xml:space="preserve"> </v>
      </c>
    </row>
    <row r="139" spans="1:11" x14ac:dyDescent="0.25">
      <c r="A139" s="2" t="s">
        <v>224</v>
      </c>
      <c r="B139" s="2" t="s">
        <v>225</v>
      </c>
      <c r="K139" t="str">
        <f t="shared" si="0"/>
        <v xml:space="preserve"> </v>
      </c>
    </row>
    <row r="140" spans="1:11" x14ac:dyDescent="0.25">
      <c r="A140" s="2" t="s">
        <v>226</v>
      </c>
      <c r="B140" s="2" t="s">
        <v>227</v>
      </c>
      <c r="C140" s="14">
        <v>-515191.27</v>
      </c>
      <c r="D140" s="14">
        <v>-2045450.45</v>
      </c>
      <c r="E140">
        <v>-74.81</v>
      </c>
      <c r="F140">
        <v>25.19</v>
      </c>
      <c r="G140" s="14">
        <v>1530259.18</v>
      </c>
      <c r="I140" s="14">
        <f>(Administration!I139+Laks!I140)*66/-440</f>
        <v>-2591907.9635999999</v>
      </c>
      <c r="K140" t="str">
        <f t="shared" si="0"/>
        <v xml:space="preserve"> </v>
      </c>
    </row>
    <row r="141" spans="1:11" x14ac:dyDescent="0.25">
      <c r="A141" s="2" t="s">
        <v>228</v>
      </c>
      <c r="B141" s="2" t="s">
        <v>229</v>
      </c>
      <c r="K141" t="str">
        <f t="shared" si="0"/>
        <v xml:space="preserve"> </v>
      </c>
    </row>
    <row r="142" spans="1:11" x14ac:dyDescent="0.25">
      <c r="A142" s="2" t="s">
        <v>230</v>
      </c>
      <c r="B142" s="2" t="s">
        <v>231</v>
      </c>
      <c r="C142" s="14">
        <v>-1628</v>
      </c>
      <c r="D142" s="14">
        <v>-5000</v>
      </c>
      <c r="E142">
        <v>-67.44</v>
      </c>
      <c r="F142">
        <v>32.56</v>
      </c>
      <c r="G142" s="14">
        <v>3372</v>
      </c>
      <c r="I142" s="14">
        <v>-5000</v>
      </c>
      <c r="K142" t="str">
        <f t="shared" si="0"/>
        <v xml:space="preserve"> </v>
      </c>
    </row>
    <row r="143" spans="1:11" x14ac:dyDescent="0.25">
      <c r="A143" s="2" t="s">
        <v>232</v>
      </c>
      <c r="B143" s="2" t="s">
        <v>233</v>
      </c>
      <c r="C143" s="14">
        <v>-7514.2</v>
      </c>
      <c r="D143" s="14">
        <v>-25000</v>
      </c>
      <c r="E143">
        <v>-69.94</v>
      </c>
      <c r="F143">
        <v>30.06</v>
      </c>
      <c r="G143" s="14">
        <v>17485.8</v>
      </c>
      <c r="I143" s="14">
        <v>-12500</v>
      </c>
      <c r="K143" t="str">
        <f t="shared" si="0"/>
        <v xml:space="preserve"> </v>
      </c>
    </row>
    <row r="144" spans="1:11" x14ac:dyDescent="0.25">
      <c r="A144" s="2" t="s">
        <v>234</v>
      </c>
      <c r="B144" s="2" t="s">
        <v>235</v>
      </c>
      <c r="C144" s="14">
        <v>-770</v>
      </c>
      <c r="D144" s="14">
        <v>-5045</v>
      </c>
      <c r="E144">
        <v>-84.74</v>
      </c>
      <c r="F144">
        <v>15.26</v>
      </c>
      <c r="G144" s="14">
        <v>4275</v>
      </c>
      <c r="I144" s="14">
        <v>0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D145" s="14">
        <v>-5045</v>
      </c>
      <c r="E145">
        <v>-100</v>
      </c>
      <c r="G145" s="14">
        <v>5045</v>
      </c>
      <c r="I145" s="14">
        <v>0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C146" s="14">
        <v>-283.97000000000003</v>
      </c>
      <c r="D146" s="14">
        <v>-8072</v>
      </c>
      <c r="E146">
        <v>-96.48</v>
      </c>
      <c r="F146">
        <v>3.52</v>
      </c>
      <c r="G146" s="14">
        <v>7788.03</v>
      </c>
      <c r="I146" s="14">
        <v>-2500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-305836.15999999997</v>
      </c>
      <c r="G147" s="14">
        <v>-305836.15999999997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D148" s="14">
        <v>-10090</v>
      </c>
      <c r="E148">
        <v>-100</v>
      </c>
      <c r="G148" s="14">
        <v>10090</v>
      </c>
      <c r="I148" s="14">
        <v>-20000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C149" s="14">
        <v>-5531.37</v>
      </c>
      <c r="D149" s="14">
        <v>-10090</v>
      </c>
      <c r="E149">
        <v>-45.18</v>
      </c>
      <c r="F149">
        <v>54.82</v>
      </c>
      <c r="G149" s="14">
        <v>4558.63</v>
      </c>
      <c r="I149" s="14">
        <v>-20000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C150" s="14">
        <v>-412421.06</v>
      </c>
      <c r="G150" s="14">
        <v>-412421.06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C151" s="14">
        <v>-3829.66</v>
      </c>
      <c r="G151" s="14">
        <v>-3829.66</v>
      </c>
      <c r="I151" s="14">
        <v>-100000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C153" s="14">
        <v>-785.5</v>
      </c>
      <c r="D153" s="14">
        <v>-17530.87</v>
      </c>
      <c r="E153">
        <v>-95.52</v>
      </c>
      <c r="F153">
        <v>4.4800000000000004</v>
      </c>
      <c r="G153" s="14">
        <v>16745.37</v>
      </c>
      <c r="I153" s="14">
        <v>-1000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D155" s="14">
        <v>-7567.5</v>
      </c>
      <c r="E155">
        <v>-100</v>
      </c>
      <c r="G155" s="14">
        <v>7567.5</v>
      </c>
      <c r="I155" s="14">
        <f>-100*66</f>
        <v>-6600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C161" s="14">
        <v>-111099.89</v>
      </c>
      <c r="D161" s="14">
        <v>-203125</v>
      </c>
      <c r="E161">
        <v>-45.3</v>
      </c>
      <c r="F161">
        <v>54.7</v>
      </c>
      <c r="G161" s="14">
        <v>92025.11</v>
      </c>
      <c r="I161" s="14">
        <v>-304687.5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D162" s="14">
        <v>-156250</v>
      </c>
      <c r="E162">
        <v>-100</v>
      </c>
      <c r="G162" s="14">
        <v>156250</v>
      </c>
      <c r="I162" s="14">
        <v>-234375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C163" s="14">
        <v>-18141.79</v>
      </c>
      <c r="D163" s="14">
        <v>-62500</v>
      </c>
      <c r="E163">
        <v>-70.97</v>
      </c>
      <c r="F163">
        <v>29.03</v>
      </c>
      <c r="G163" s="14">
        <v>44358.21</v>
      </c>
      <c r="I163" s="14">
        <v>-62500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D164" s="14">
        <v>-12500</v>
      </c>
      <c r="E164">
        <v>-100</v>
      </c>
      <c r="G164" s="14">
        <v>12500</v>
      </c>
      <c r="I164" s="14">
        <v>-12500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C165" s="14">
        <v>-1983.59</v>
      </c>
      <c r="D165" s="14">
        <v>-12500</v>
      </c>
      <c r="E165">
        <v>-84.13</v>
      </c>
      <c r="F165">
        <v>15.87</v>
      </c>
      <c r="G165" s="14">
        <v>10516.41</v>
      </c>
      <c r="I165" s="14">
        <v>-12500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K166" t="str">
        <f t="shared" si="1"/>
        <v xml:space="preserve"> </v>
      </c>
    </row>
    <row r="167" spans="1:11" x14ac:dyDescent="0.25">
      <c r="A167" s="2" t="s">
        <v>280</v>
      </c>
      <c r="B167" s="2" t="s">
        <v>281</v>
      </c>
      <c r="C167" s="14">
        <v>-13076</v>
      </c>
      <c r="G167" s="14">
        <v>-13076</v>
      </c>
      <c r="I167" s="14">
        <v>-13076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-12783.9</v>
      </c>
      <c r="G168" s="14">
        <v>-12783.9</v>
      </c>
      <c r="I168" s="14">
        <v>-12783.9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C172" s="14">
        <v>-6069</v>
      </c>
      <c r="D172" s="14">
        <v>-15135</v>
      </c>
      <c r="E172">
        <v>-59.9</v>
      </c>
      <c r="F172">
        <v>40.1</v>
      </c>
      <c r="G172" s="14">
        <v>9066</v>
      </c>
      <c r="I172" s="14">
        <v>-2500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-3125.05</v>
      </c>
      <c r="G173" s="14">
        <v>-3125.05</v>
      </c>
      <c r="I173" s="14">
        <f>3250*-4</f>
        <v>-13000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C174" s="14">
        <v>-1995</v>
      </c>
      <c r="G174" s="14">
        <v>-1995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C175" s="14">
        <v>-1708.8</v>
      </c>
      <c r="D175" s="14">
        <v>-1210.8</v>
      </c>
      <c r="E175">
        <v>41.13</v>
      </c>
      <c r="F175">
        <v>141.13</v>
      </c>
      <c r="G175" s="14">
        <v>-498</v>
      </c>
      <c r="I175" s="14">
        <v>-2500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-147579.64000000001</v>
      </c>
      <c r="D176" s="14">
        <v>-200000</v>
      </c>
      <c r="E176">
        <v>-26.21</v>
      </c>
      <c r="F176">
        <v>73.790000000000006</v>
      </c>
      <c r="G176" s="14">
        <v>52420.36</v>
      </c>
      <c r="I176" s="14">
        <f>-9850/2*46-20000</f>
        <v>-246550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C177" s="14">
        <v>-106118.83</v>
      </c>
      <c r="D177" s="14">
        <v>-15000</v>
      </c>
      <c r="E177">
        <v>607.46</v>
      </c>
      <c r="F177">
        <v>707.46</v>
      </c>
      <c r="G177" s="14">
        <v>-91118.83</v>
      </c>
      <c r="I177" s="14">
        <v>-75000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C178" s="14">
        <v>-10163</v>
      </c>
      <c r="D178" s="14">
        <v>-5000</v>
      </c>
      <c r="E178">
        <v>103.26</v>
      </c>
      <c r="F178">
        <v>203.26</v>
      </c>
      <c r="G178" s="14">
        <v>-5163</v>
      </c>
      <c r="I178" s="14">
        <f>-66*50</f>
        <v>-3300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D179" s="14">
        <v>-5045</v>
      </c>
      <c r="E179">
        <v>-100</v>
      </c>
      <c r="G179" s="14">
        <v>5045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D180" s="14">
        <v>-60000</v>
      </c>
      <c r="E180">
        <v>-100</v>
      </c>
      <c r="G180" s="14">
        <v>60000</v>
      </c>
      <c r="I180" s="14">
        <f>-60000</f>
        <v>-60000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D181" s="14">
        <v>-20180</v>
      </c>
      <c r="E181">
        <v>-100</v>
      </c>
      <c r="G181" s="14">
        <v>20180</v>
      </c>
      <c r="I181" s="14">
        <f>-20180</f>
        <v>-20180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D182" s="14">
        <v>-2500</v>
      </c>
      <c r="E182">
        <v>-100</v>
      </c>
      <c r="G182" s="14">
        <v>2500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C183" s="14">
        <v>-10564.46</v>
      </c>
      <c r="D183" s="14">
        <v>-37500</v>
      </c>
      <c r="E183">
        <v>-71.83</v>
      </c>
      <c r="F183">
        <v>28.17</v>
      </c>
      <c r="G183" s="14">
        <v>26935.54</v>
      </c>
      <c r="I183" s="14">
        <f>-500*66</f>
        <v>-33000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C184" s="14">
        <v>-8252.27</v>
      </c>
      <c r="D184" s="14">
        <v>-48000</v>
      </c>
      <c r="E184">
        <v>-82.81</v>
      </c>
      <c r="F184">
        <v>17.190000000000001</v>
      </c>
      <c r="G184" s="14">
        <v>39747.730000000003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C185" s="14">
        <v>-13706.54</v>
      </c>
      <c r="D185" s="14">
        <v>-25225</v>
      </c>
      <c r="E185">
        <v>-45.66</v>
      </c>
      <c r="F185">
        <v>54.34</v>
      </c>
      <c r="G185" s="14">
        <v>11518.46</v>
      </c>
      <c r="I185" s="14">
        <f>-25225</f>
        <v>-25225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-2440.6</v>
      </c>
      <c r="D186" s="14">
        <v>-50000</v>
      </c>
      <c r="E186">
        <v>-95.12</v>
      </c>
      <c r="F186">
        <v>4.88</v>
      </c>
      <c r="G186" s="14">
        <v>47559.4</v>
      </c>
      <c r="I186" s="14">
        <v>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C187" s="14">
        <v>-4250.28</v>
      </c>
      <c r="D187" s="14">
        <v>-30000</v>
      </c>
      <c r="E187">
        <v>-85.83</v>
      </c>
      <c r="F187">
        <v>14.17</v>
      </c>
      <c r="G187" s="14">
        <v>25749.72</v>
      </c>
      <c r="I187" s="14">
        <f>66*-400</f>
        <v>-26400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-169306.01</v>
      </c>
      <c r="D188" s="14">
        <v>-475000</v>
      </c>
      <c r="E188">
        <v>-64.36</v>
      </c>
      <c r="F188">
        <v>35.64</v>
      </c>
      <c r="G188" s="14">
        <v>305693.99</v>
      </c>
      <c r="I188" s="14">
        <f>-475000-75000</f>
        <v>-550000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C190" s="14">
        <v>-96589.47</v>
      </c>
      <c r="D190" s="14">
        <v>-141260</v>
      </c>
      <c r="E190">
        <v>-31.62</v>
      </c>
      <c r="F190">
        <v>68.38</v>
      </c>
      <c r="G190" s="14">
        <v>44670.53</v>
      </c>
      <c r="I190" s="14">
        <v>-141260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C192" s="14">
        <v>-500</v>
      </c>
      <c r="D192" s="14">
        <v>-100900</v>
      </c>
      <c r="E192">
        <v>-99.5</v>
      </c>
      <c r="F192">
        <v>0.5</v>
      </c>
      <c r="G192" s="14">
        <v>100400</v>
      </c>
      <c r="I192" s="14">
        <v>-10000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-1993245.31</v>
      </c>
      <c r="D197" s="15">
        <v>-3817721.62</v>
      </c>
      <c r="E197" s="4">
        <v>-47.79</v>
      </c>
      <c r="F197" s="4">
        <v>52.21</v>
      </c>
      <c r="G197" s="15">
        <v>1824476.31</v>
      </c>
      <c r="I197" s="15">
        <f>SUM(I138:I196)</f>
        <v>-4620845.3635999998</v>
      </c>
      <c r="K197" t="str">
        <f t="shared" si="1"/>
        <v xml:space="preserve"> 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/>
      <c r="D218" s="15"/>
      <c r="E218" s="4"/>
      <c r="F218" s="4"/>
      <c r="G218" s="15"/>
      <c r="I218" s="15">
        <f>SUM(I211:I217)</f>
        <v>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-1357598.48</v>
      </c>
      <c r="D228" s="16">
        <v>-960074.08</v>
      </c>
      <c r="E228" s="6">
        <v>41.41</v>
      </c>
      <c r="F228" s="6">
        <v>141.41</v>
      </c>
      <c r="G228" s="16">
        <v>-397524.4</v>
      </c>
      <c r="I228" s="16">
        <f>I126+I135+I197+I208+I218+I222+I226</f>
        <v>-1492081.3536</v>
      </c>
      <c r="K228" t="str">
        <f t="shared" si="2"/>
        <v xml:space="preserve"> 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-1357598.48</v>
      </c>
      <c r="D236" s="16">
        <v>-960074.08</v>
      </c>
      <c r="E236" s="6">
        <v>41.41</v>
      </c>
      <c r="F236" s="6">
        <v>141.41</v>
      </c>
      <c r="G236" s="16">
        <v>-397524.4</v>
      </c>
      <c r="I236" s="16">
        <f>I228+I234</f>
        <v>-1492081.3536</v>
      </c>
      <c r="K236" t="str">
        <f t="shared" si="2"/>
        <v xml:space="preserve"> 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C240" s="14">
        <v>-170909.12</v>
      </c>
      <c r="D240" s="14">
        <v>-341818.27</v>
      </c>
      <c r="E240">
        <v>-50</v>
      </c>
      <c r="F240">
        <v>50</v>
      </c>
      <c r="G240" s="14">
        <v>170909.15</v>
      </c>
      <c r="I240" s="14">
        <f>-294360.44-15000</f>
        <v>-309360.44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>
        <v>-170909.12</v>
      </c>
      <c r="D242" s="15">
        <v>-341818.27</v>
      </c>
      <c r="E242" s="4">
        <v>-50</v>
      </c>
      <c r="F242" s="4">
        <v>50</v>
      </c>
      <c r="G242" s="15">
        <v>170909.15</v>
      </c>
      <c r="I242" s="15">
        <f>SUM(I238:I241)</f>
        <v>-309360.44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-1528507.6</v>
      </c>
      <c r="D244" s="16">
        <v>-1301892.3500000001</v>
      </c>
      <c r="E244" s="6">
        <v>17.41</v>
      </c>
      <c r="F244" s="6">
        <v>117.41</v>
      </c>
      <c r="G244" s="16">
        <v>-226615.25</v>
      </c>
      <c r="I244" s="16">
        <f>I236+I242</f>
        <v>-1801441.7936</v>
      </c>
      <c r="K244" t="str">
        <f t="shared" si="2"/>
        <v xml:space="preserve"> </v>
      </c>
    </row>
  </sheetData>
  <sheetProtection algorithmName="SHA-512" hashValue="SxAIgh9fAnihHUP1WnBa9ualOg92OAx1D9s2UcHyTCJ+A2X6ZdXXy0j9NSL++cYwwGAs3YAsbgTE/w7Vco0MLw==" saltValue="gRuU/8t/yGjcXJONFTIgAg==" spinCount="100000"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44"/>
  <sheetViews>
    <sheetView topLeftCell="A172" workbookViewId="0">
      <selection activeCell="I189" sqref="I189"/>
    </sheetView>
  </sheetViews>
  <sheetFormatPr defaultRowHeight="15" x14ac:dyDescent="0.25"/>
  <cols>
    <col min="1" max="1" width="17.7109375" bestFit="1" customWidth="1"/>
    <col min="2" max="2" width="48.7109375" bestFit="1" customWidth="1"/>
    <col min="3" max="4" width="13.28515625" style="14" hidden="1" customWidth="1"/>
    <col min="5" max="5" width="10.28515625" hidden="1" customWidth="1"/>
    <col min="6" max="6" width="19.42578125" hidden="1" customWidth="1"/>
    <col min="7" max="7" width="13.28515625" style="14" hidden="1" customWidth="1"/>
    <col min="8" max="8" width="2.7109375" hidden="1" customWidth="1"/>
    <col min="9" max="9" width="15.28515625" style="14" bestFit="1" customWidth="1"/>
  </cols>
  <sheetData>
    <row r="1" spans="1:9" x14ac:dyDescent="0.25">
      <c r="A1" s="1" t="s">
        <v>0</v>
      </c>
    </row>
    <row r="2" spans="1:9" x14ac:dyDescent="0.25">
      <c r="A2" s="2" t="s">
        <v>1</v>
      </c>
      <c r="B2" s="2" t="s">
        <v>2</v>
      </c>
    </row>
    <row r="3" spans="1:9" x14ac:dyDescent="0.25">
      <c r="A3" s="2" t="s">
        <v>3</v>
      </c>
      <c r="B3" s="2" t="s">
        <v>4</v>
      </c>
    </row>
    <row r="4" spans="1:9" x14ac:dyDescent="0.25">
      <c r="A4" s="2" t="s">
        <v>412</v>
      </c>
      <c r="B4" s="2" t="s">
        <v>416</v>
      </c>
    </row>
    <row r="6" spans="1:9" x14ac:dyDescent="0.25">
      <c r="A6" s="2" t="s">
        <v>5</v>
      </c>
      <c r="B6" s="2" t="s">
        <v>6</v>
      </c>
    </row>
    <row r="7" spans="1:9" x14ac:dyDescent="0.25">
      <c r="I7" s="23" t="s">
        <v>444</v>
      </c>
    </row>
    <row r="8" spans="1:9" x14ac:dyDescent="0.25">
      <c r="C8" s="17" t="s">
        <v>7</v>
      </c>
      <c r="D8" s="17" t="s">
        <v>8</v>
      </c>
      <c r="E8" s="18" t="s">
        <v>9</v>
      </c>
      <c r="F8" s="18" t="s">
        <v>10</v>
      </c>
      <c r="G8" s="17" t="s">
        <v>11</v>
      </c>
      <c r="H8" s="4"/>
      <c r="I8" s="17" t="s">
        <v>456</v>
      </c>
    </row>
    <row r="9" spans="1:9" x14ac:dyDescent="0.25">
      <c r="A9" s="3" t="s">
        <v>12</v>
      </c>
      <c r="B9" s="3" t="s">
        <v>13</v>
      </c>
      <c r="C9" s="15"/>
      <c r="D9" s="15"/>
      <c r="E9" s="4"/>
      <c r="F9" s="4"/>
      <c r="G9" s="15"/>
      <c r="I9" s="15"/>
    </row>
    <row r="10" spans="1:9" x14ac:dyDescent="0.25">
      <c r="A10" s="2" t="s">
        <v>14</v>
      </c>
      <c r="B10" s="2" t="s">
        <v>15</v>
      </c>
      <c r="C10" s="14">
        <v>3615881.94</v>
      </c>
      <c r="D10" s="14">
        <v>7454255</v>
      </c>
      <c r="E10">
        <v>-51.49</v>
      </c>
      <c r="F10">
        <v>48.51</v>
      </c>
      <c r="G10" s="14">
        <v>-3838373.06</v>
      </c>
      <c r="I10" s="14">
        <f>I45</f>
        <v>7093602.5</v>
      </c>
    </row>
    <row r="11" spans="1:9" x14ac:dyDescent="0.25">
      <c r="A11" s="2" t="s">
        <v>16</v>
      </c>
      <c r="B11" s="2" t="s">
        <v>17</v>
      </c>
      <c r="C11" s="14">
        <v>14997.6</v>
      </c>
      <c r="D11" s="14">
        <v>50450</v>
      </c>
      <c r="E11">
        <v>-70.27</v>
      </c>
      <c r="F11">
        <v>29.73</v>
      </c>
      <c r="G11" s="14">
        <v>-35452.400000000001</v>
      </c>
      <c r="I11" s="14">
        <f>I58</f>
        <v>65360.800000000003</v>
      </c>
    </row>
    <row r="12" spans="1:9" x14ac:dyDescent="0.25">
      <c r="A12" s="2" t="s">
        <v>18</v>
      </c>
      <c r="B12" s="2" t="s">
        <v>19</v>
      </c>
      <c r="C12" s="14">
        <v>54009.75</v>
      </c>
      <c r="D12" s="14">
        <v>40360</v>
      </c>
      <c r="E12">
        <v>33.82</v>
      </c>
      <c r="F12">
        <v>133.82</v>
      </c>
      <c r="G12" s="14">
        <v>13649.75</v>
      </c>
      <c r="I12" s="14">
        <f>I62</f>
        <v>54009.75</v>
      </c>
    </row>
    <row r="13" spans="1:9" x14ac:dyDescent="0.25">
      <c r="A13" s="3" t="s">
        <v>20</v>
      </c>
      <c r="B13" s="3" t="s">
        <v>21</v>
      </c>
      <c r="C13" s="15">
        <v>3684889.29</v>
      </c>
      <c r="D13" s="15">
        <v>7545065</v>
      </c>
      <c r="E13" s="4">
        <v>-51.16</v>
      </c>
      <c r="F13" s="4">
        <v>48.84</v>
      </c>
      <c r="G13" s="15">
        <v>-3860175.71</v>
      </c>
      <c r="I13" s="15">
        <f>SUM(I10:I12)</f>
        <v>7212973.0499999998</v>
      </c>
    </row>
    <row r="14" spans="1:9" x14ac:dyDescent="0.25">
      <c r="A14" s="2" t="s">
        <v>12</v>
      </c>
      <c r="B14" s="2" t="s">
        <v>12</v>
      </c>
    </row>
    <row r="15" spans="1:9" x14ac:dyDescent="0.25">
      <c r="A15" s="3" t="s">
        <v>12</v>
      </c>
      <c r="B15" s="3" t="s">
        <v>22</v>
      </c>
      <c r="C15" s="15"/>
      <c r="D15" s="15"/>
      <c r="E15" s="4"/>
      <c r="F15" s="4"/>
      <c r="G15" s="15"/>
      <c r="I15" s="15"/>
    </row>
    <row r="16" spans="1:9" x14ac:dyDescent="0.25">
      <c r="A16" s="2" t="s">
        <v>23</v>
      </c>
      <c r="B16" s="2" t="s">
        <v>24</v>
      </c>
      <c r="I16" s="14">
        <f>I69</f>
        <v>0</v>
      </c>
    </row>
    <row r="17" spans="1:9" x14ac:dyDescent="0.25">
      <c r="A17" s="2" t="s">
        <v>25</v>
      </c>
      <c r="B17" s="2" t="s">
        <v>26</v>
      </c>
      <c r="C17" s="14">
        <v>-18966.25</v>
      </c>
      <c r="D17" s="14">
        <v>-13117</v>
      </c>
      <c r="E17">
        <v>44.59</v>
      </c>
      <c r="F17">
        <v>144.59</v>
      </c>
      <c r="G17" s="14">
        <v>-5849.25</v>
      </c>
      <c r="I17" s="14">
        <f>I76</f>
        <v>-1000</v>
      </c>
    </row>
    <row r="18" spans="1:9" x14ac:dyDescent="0.25">
      <c r="A18" s="2" t="s">
        <v>27</v>
      </c>
      <c r="B18" s="2" t="s">
        <v>28</v>
      </c>
      <c r="I18" s="14">
        <f>I81</f>
        <v>0</v>
      </c>
    </row>
    <row r="19" spans="1:9" x14ac:dyDescent="0.25">
      <c r="A19" s="2" t="s">
        <v>12</v>
      </c>
      <c r="B19" s="2" t="s">
        <v>12</v>
      </c>
    </row>
    <row r="20" spans="1:9" x14ac:dyDescent="0.25">
      <c r="A20" s="2" t="s">
        <v>29</v>
      </c>
      <c r="B20" s="2" t="s">
        <v>30</v>
      </c>
      <c r="C20" s="14">
        <v>-3331968.9</v>
      </c>
      <c r="D20" s="14">
        <v>-5834982.2599999998</v>
      </c>
      <c r="E20">
        <v>-42.9</v>
      </c>
      <c r="F20">
        <v>57.1</v>
      </c>
      <c r="G20" s="14">
        <v>2503013.36</v>
      </c>
      <c r="I20" s="14">
        <f>I122</f>
        <v>-4912578.21</v>
      </c>
    </row>
    <row r="21" spans="1:9" x14ac:dyDescent="0.25">
      <c r="A21" s="3" t="s">
        <v>31</v>
      </c>
      <c r="B21" s="3" t="s">
        <v>32</v>
      </c>
      <c r="C21" s="15">
        <v>-3350935.15</v>
      </c>
      <c r="D21" s="15">
        <v>-5848099.2599999998</v>
      </c>
      <c r="E21" s="4">
        <v>-42.7</v>
      </c>
      <c r="F21" s="4">
        <v>57.3</v>
      </c>
      <c r="G21" s="15">
        <v>2497164.11</v>
      </c>
      <c r="I21" s="15">
        <f>I20+I18+I17+I16</f>
        <v>-4913578.21</v>
      </c>
    </row>
    <row r="22" spans="1:9" x14ac:dyDescent="0.25">
      <c r="A22" s="2" t="s">
        <v>12</v>
      </c>
      <c r="B22" s="2" t="s">
        <v>12</v>
      </c>
    </row>
    <row r="23" spans="1:9" x14ac:dyDescent="0.25">
      <c r="A23" s="2" t="s">
        <v>33</v>
      </c>
      <c r="B23" s="2" t="s">
        <v>34</v>
      </c>
      <c r="C23" s="14">
        <v>13395</v>
      </c>
      <c r="D23" s="14">
        <v>25225</v>
      </c>
      <c r="E23">
        <v>-46.9</v>
      </c>
      <c r="F23">
        <v>53.1</v>
      </c>
      <c r="G23" s="14">
        <v>-11830</v>
      </c>
      <c r="I23" s="14">
        <f>I135</f>
        <v>25000</v>
      </c>
    </row>
    <row r="24" spans="1:9" x14ac:dyDescent="0.25">
      <c r="A24" s="2" t="s">
        <v>35</v>
      </c>
      <c r="B24" s="2" t="s">
        <v>36</v>
      </c>
      <c r="C24" s="14">
        <v>-853070.7</v>
      </c>
      <c r="D24" s="14">
        <v>-3725053.5</v>
      </c>
      <c r="E24">
        <v>-77.099999999999994</v>
      </c>
      <c r="F24">
        <v>22.9</v>
      </c>
      <c r="G24" s="14">
        <v>2871982.8</v>
      </c>
      <c r="I24" s="14">
        <f>I197</f>
        <v>-3681361.8626999995</v>
      </c>
    </row>
    <row r="25" spans="1:9" x14ac:dyDescent="0.25">
      <c r="A25" s="2" t="s">
        <v>37</v>
      </c>
      <c r="B25" s="2" t="s">
        <v>38</v>
      </c>
      <c r="I25" s="14">
        <f>I208</f>
        <v>0</v>
      </c>
    </row>
    <row r="26" spans="1:9" x14ac:dyDescent="0.25">
      <c r="A26" s="2" t="s">
        <v>39</v>
      </c>
      <c r="B26" s="2" t="s">
        <v>40</v>
      </c>
      <c r="I26" s="14">
        <f>I218</f>
        <v>0</v>
      </c>
    </row>
    <row r="27" spans="1:9" x14ac:dyDescent="0.25">
      <c r="A27" s="2" t="s">
        <v>41</v>
      </c>
      <c r="B27" s="2" t="s">
        <v>42</v>
      </c>
      <c r="I27" s="14">
        <f>I222</f>
        <v>0</v>
      </c>
    </row>
    <row r="28" spans="1:9" x14ac:dyDescent="0.25">
      <c r="A28" s="2" t="s">
        <v>43</v>
      </c>
      <c r="B28" s="2" t="s">
        <v>44</v>
      </c>
      <c r="I28" s="14">
        <f>I226</f>
        <v>0</v>
      </c>
    </row>
    <row r="29" spans="1:9" x14ac:dyDescent="0.25">
      <c r="A29" s="2" t="s">
        <v>12</v>
      </c>
      <c r="B29" s="2" t="s">
        <v>12</v>
      </c>
    </row>
    <row r="30" spans="1:9" ht="15.75" thickBot="1" x14ac:dyDescent="0.3">
      <c r="A30" s="5" t="s">
        <v>45</v>
      </c>
      <c r="B30" s="5" t="s">
        <v>46</v>
      </c>
      <c r="C30" s="16">
        <v>-505721.56</v>
      </c>
      <c r="D30" s="16">
        <v>-2002862.76</v>
      </c>
      <c r="E30" s="6">
        <v>-74.75</v>
      </c>
      <c r="F30" s="6">
        <v>25.25</v>
      </c>
      <c r="G30" s="16">
        <v>1497141.2</v>
      </c>
      <c r="I30" s="16">
        <f>I13+I21+I23+I24+I25+I26+I27+I28</f>
        <v>-1356967.0226999996</v>
      </c>
    </row>
    <row r="31" spans="1:9" ht="15.75" thickTop="1" x14ac:dyDescent="0.25">
      <c r="A31" s="2" t="s">
        <v>12</v>
      </c>
      <c r="B31" s="2" t="s">
        <v>12</v>
      </c>
    </row>
    <row r="32" spans="1:9" x14ac:dyDescent="0.25">
      <c r="A32" s="2" t="s">
        <v>47</v>
      </c>
      <c r="B32" s="2" t="s">
        <v>48</v>
      </c>
      <c r="C32" s="14">
        <v>-82590.63</v>
      </c>
      <c r="D32" s="14">
        <v>-127468.26</v>
      </c>
      <c r="E32">
        <v>-35.21</v>
      </c>
      <c r="F32">
        <v>64.790000000000006</v>
      </c>
      <c r="G32" s="14">
        <v>44877.63</v>
      </c>
      <c r="I32" s="14">
        <f>I242</f>
        <v>-148000</v>
      </c>
    </row>
    <row r="33" spans="1:9" x14ac:dyDescent="0.25">
      <c r="A33" s="2" t="s">
        <v>12</v>
      </c>
      <c r="B33" s="2" t="s">
        <v>12</v>
      </c>
    </row>
    <row r="34" spans="1:9" ht="15.75" thickBot="1" x14ac:dyDescent="0.3">
      <c r="A34" s="5" t="s">
        <v>12</v>
      </c>
      <c r="B34" s="5" t="s">
        <v>49</v>
      </c>
      <c r="C34" s="16">
        <v>-588312.18999999994</v>
      </c>
      <c r="D34" s="16">
        <v>-2130331.02</v>
      </c>
      <c r="E34" s="6">
        <v>-72.38</v>
      </c>
      <c r="F34" s="6">
        <v>27.62</v>
      </c>
      <c r="G34" s="16">
        <v>1542018.83</v>
      </c>
      <c r="I34" s="16">
        <f>I30+I32</f>
        <v>-1504967.0226999996</v>
      </c>
    </row>
    <row r="35" spans="1:9" ht="15.75" thickTop="1" x14ac:dyDescent="0.25">
      <c r="A35" s="2" t="s">
        <v>12</v>
      </c>
      <c r="B35" s="2" t="s">
        <v>12</v>
      </c>
    </row>
    <row r="36" spans="1:9" x14ac:dyDescent="0.25">
      <c r="A36" s="3" t="s">
        <v>12</v>
      </c>
      <c r="B36" s="3" t="s">
        <v>50</v>
      </c>
      <c r="C36" s="15"/>
      <c r="D36" s="15"/>
      <c r="E36" s="4"/>
      <c r="F36" s="4"/>
      <c r="G36" s="15"/>
      <c r="I36" s="15"/>
    </row>
    <row r="37" spans="1:9" x14ac:dyDescent="0.25">
      <c r="A37" s="2" t="s">
        <v>12</v>
      </c>
      <c r="B37" s="2" t="s">
        <v>12</v>
      </c>
    </row>
    <row r="38" spans="1:9" x14ac:dyDescent="0.25">
      <c r="A38" s="3" t="s">
        <v>51</v>
      </c>
      <c r="B38" s="3" t="s">
        <v>52</v>
      </c>
      <c r="C38" s="15"/>
      <c r="D38" s="15"/>
      <c r="E38" s="4"/>
      <c r="F38" s="4"/>
      <c r="G38" s="15"/>
      <c r="I38" s="15"/>
    </row>
    <row r="39" spans="1:9" x14ac:dyDescent="0.25">
      <c r="A39" s="2" t="s">
        <v>53</v>
      </c>
      <c r="B39" s="2" t="s">
        <v>54</v>
      </c>
      <c r="C39" s="14">
        <v>2552689.65</v>
      </c>
      <c r="D39" s="14">
        <v>5034473</v>
      </c>
      <c r="E39">
        <v>-49.3</v>
      </c>
      <c r="F39">
        <v>50.7</v>
      </c>
      <c r="G39" s="14">
        <v>-2481783.35</v>
      </c>
      <c r="I39" s="14">
        <f>4366395+13304</f>
        <v>4379699</v>
      </c>
    </row>
    <row r="40" spans="1:9" x14ac:dyDescent="0.25">
      <c r="A40" s="2" t="s">
        <v>55</v>
      </c>
      <c r="B40" s="2" t="s">
        <v>56</v>
      </c>
      <c r="C40" s="14">
        <v>141773.12</v>
      </c>
      <c r="D40" s="14">
        <v>276404</v>
      </c>
      <c r="E40">
        <v>-48.71</v>
      </c>
      <c r="F40">
        <v>51.29</v>
      </c>
      <c r="G40" s="14">
        <v>-134630.88</v>
      </c>
      <c r="I40" s="14">
        <v>355459.5</v>
      </c>
    </row>
    <row r="41" spans="1:9" x14ac:dyDescent="0.25">
      <c r="A41" s="2" t="s">
        <v>57</v>
      </c>
      <c r="B41" s="2" t="s">
        <v>58</v>
      </c>
      <c r="C41" s="14">
        <v>7054.83</v>
      </c>
      <c r="D41" s="14">
        <v>52675</v>
      </c>
      <c r="E41">
        <v>-86.61</v>
      </c>
      <c r="F41">
        <v>13.39</v>
      </c>
      <c r="G41" s="14">
        <v>-45620.17</v>
      </c>
      <c r="I41" s="14">
        <v>54750</v>
      </c>
    </row>
    <row r="42" spans="1:9" x14ac:dyDescent="0.25">
      <c r="A42" s="2" t="s">
        <v>59</v>
      </c>
      <c r="B42" s="2" t="s">
        <v>60</v>
      </c>
      <c r="C42" s="14">
        <v>7557.78</v>
      </c>
      <c r="D42" s="14">
        <v>304623</v>
      </c>
      <c r="E42">
        <v>-97.52</v>
      </c>
      <c r="F42">
        <v>2.48</v>
      </c>
      <c r="G42" s="14">
        <v>-297065.21999999997</v>
      </c>
      <c r="I42" s="14">
        <v>14394</v>
      </c>
    </row>
    <row r="43" spans="1:9" x14ac:dyDescent="0.25">
      <c r="A43" s="2" t="s">
        <v>61</v>
      </c>
      <c r="B43" s="2" t="s">
        <v>62</v>
      </c>
      <c r="C43" s="14">
        <v>893040</v>
      </c>
      <c r="D43" s="14">
        <v>1786080</v>
      </c>
      <c r="E43">
        <v>-50</v>
      </c>
      <c r="F43">
        <v>50</v>
      </c>
      <c r="G43" s="14">
        <v>-893040</v>
      </c>
      <c r="I43" s="14">
        <f>1884540+404760</f>
        <v>2289300</v>
      </c>
    </row>
    <row r="44" spans="1:9" x14ac:dyDescent="0.25">
      <c r="A44" s="2" t="s">
        <v>63</v>
      </c>
      <c r="B44" s="2" t="s">
        <v>64</v>
      </c>
      <c r="C44" s="14">
        <v>13766.56</v>
      </c>
      <c r="G44" s="14">
        <v>13766.56</v>
      </c>
      <c r="I44" s="14">
        <v>0</v>
      </c>
    </row>
    <row r="45" spans="1:9" x14ac:dyDescent="0.25">
      <c r="A45" s="3" t="s">
        <v>65</v>
      </c>
      <c r="B45" s="3" t="s">
        <v>66</v>
      </c>
      <c r="C45" s="15">
        <v>3615881.94</v>
      </c>
      <c r="D45" s="15">
        <v>7454255</v>
      </c>
      <c r="E45" s="4">
        <v>-51.49</v>
      </c>
      <c r="F45" s="4">
        <v>48.51</v>
      </c>
      <c r="G45" s="15">
        <v>-3838373.06</v>
      </c>
      <c r="I45" s="15">
        <f>SUM(I39:I44)</f>
        <v>7093602.5</v>
      </c>
    </row>
    <row r="46" spans="1:9" x14ac:dyDescent="0.25">
      <c r="A46" s="2" t="s">
        <v>12</v>
      </c>
      <c r="B46" s="2" t="s">
        <v>12</v>
      </c>
    </row>
    <row r="47" spans="1:9" x14ac:dyDescent="0.25">
      <c r="A47" s="3" t="s">
        <v>67</v>
      </c>
      <c r="B47" s="3" t="s">
        <v>68</v>
      </c>
      <c r="C47" s="15"/>
      <c r="D47" s="15"/>
      <c r="E47" s="4"/>
      <c r="F47" s="4"/>
      <c r="G47" s="15"/>
      <c r="I47" s="15"/>
    </row>
    <row r="48" spans="1:9" x14ac:dyDescent="0.25">
      <c r="A48" s="2" t="s">
        <v>69</v>
      </c>
      <c r="B48" s="2" t="s">
        <v>70</v>
      </c>
    </row>
    <row r="49" spans="1:9" x14ac:dyDescent="0.25">
      <c r="A49" s="2" t="s">
        <v>71</v>
      </c>
      <c r="B49" s="2" t="s">
        <v>72</v>
      </c>
    </row>
    <row r="50" spans="1:9" x14ac:dyDescent="0.25">
      <c r="A50" s="2" t="s">
        <v>73</v>
      </c>
      <c r="B50" s="2" t="s">
        <v>74</v>
      </c>
    </row>
    <row r="51" spans="1:9" x14ac:dyDescent="0.25">
      <c r="A51" s="2" t="s">
        <v>75</v>
      </c>
      <c r="B51" s="2" t="s">
        <v>76</v>
      </c>
    </row>
    <row r="52" spans="1:9" x14ac:dyDescent="0.25">
      <c r="A52" s="2" t="s">
        <v>77</v>
      </c>
      <c r="B52" s="2" t="s">
        <v>78</v>
      </c>
    </row>
    <row r="53" spans="1:9" x14ac:dyDescent="0.25">
      <c r="A53" s="2" t="s">
        <v>79</v>
      </c>
      <c r="B53" s="2" t="s">
        <v>80</v>
      </c>
    </row>
    <row r="54" spans="1:9" x14ac:dyDescent="0.25">
      <c r="A54" s="2" t="s">
        <v>81</v>
      </c>
      <c r="B54" s="2" t="s">
        <v>82</v>
      </c>
      <c r="C54" s="14">
        <v>86.8</v>
      </c>
      <c r="D54" s="14">
        <v>50450</v>
      </c>
      <c r="E54">
        <v>-99.83</v>
      </c>
      <c r="F54">
        <v>0.17</v>
      </c>
      <c r="G54" s="14">
        <v>-50363.199999999997</v>
      </c>
      <c r="I54" s="14">
        <v>50450</v>
      </c>
    </row>
    <row r="55" spans="1:9" x14ac:dyDescent="0.25">
      <c r="A55" s="2" t="s">
        <v>83</v>
      </c>
      <c r="B55" s="2" t="s">
        <v>84</v>
      </c>
      <c r="C55" s="14">
        <v>14910.8</v>
      </c>
      <c r="G55" s="14">
        <v>14910.8</v>
      </c>
      <c r="I55" s="14">
        <v>14910.8</v>
      </c>
    </row>
    <row r="56" spans="1:9" x14ac:dyDescent="0.25">
      <c r="A56" s="2" t="s">
        <v>85</v>
      </c>
      <c r="B56" s="2" t="s">
        <v>86</v>
      </c>
    </row>
    <row r="57" spans="1:9" x14ac:dyDescent="0.25">
      <c r="A57" s="2" t="s">
        <v>87</v>
      </c>
      <c r="B57" s="2" t="s">
        <v>88</v>
      </c>
    </row>
    <row r="58" spans="1:9" x14ac:dyDescent="0.25">
      <c r="A58" s="3" t="s">
        <v>89</v>
      </c>
      <c r="B58" s="3" t="s">
        <v>17</v>
      </c>
      <c r="C58" s="15">
        <v>14997.6</v>
      </c>
      <c r="D58" s="15">
        <v>50450</v>
      </c>
      <c r="E58" s="4">
        <v>-70.27</v>
      </c>
      <c r="F58" s="4">
        <v>29.73</v>
      </c>
      <c r="G58" s="15">
        <v>-35452.400000000001</v>
      </c>
      <c r="I58" s="15">
        <f>SUM(I48:I57)</f>
        <v>65360.800000000003</v>
      </c>
    </row>
    <row r="59" spans="1:9" x14ac:dyDescent="0.25">
      <c r="A59" s="2" t="s">
        <v>12</v>
      </c>
      <c r="B59" s="2" t="s">
        <v>12</v>
      </c>
    </row>
    <row r="60" spans="1:9" x14ac:dyDescent="0.25">
      <c r="A60" s="3" t="s">
        <v>90</v>
      </c>
      <c r="B60" s="3" t="s">
        <v>91</v>
      </c>
      <c r="C60" s="15"/>
      <c r="D60" s="15"/>
      <c r="E60" s="4"/>
      <c r="F60" s="4"/>
      <c r="G60" s="15"/>
      <c r="I60" s="15"/>
    </row>
    <row r="61" spans="1:9" x14ac:dyDescent="0.25">
      <c r="A61" s="2" t="s">
        <v>92</v>
      </c>
      <c r="B61" s="2" t="s">
        <v>93</v>
      </c>
      <c r="C61" s="14">
        <v>54009.75</v>
      </c>
      <c r="D61" s="14">
        <v>40360</v>
      </c>
      <c r="E61">
        <v>33.82</v>
      </c>
      <c r="F61">
        <v>133.82</v>
      </c>
      <c r="G61" s="14">
        <v>13649.75</v>
      </c>
      <c r="I61" s="14">
        <v>54009.75</v>
      </c>
    </row>
    <row r="62" spans="1:9" x14ac:dyDescent="0.25">
      <c r="A62" s="3" t="s">
        <v>94</v>
      </c>
      <c r="B62" s="3" t="s">
        <v>95</v>
      </c>
      <c r="C62" s="15">
        <v>54009.75</v>
      </c>
      <c r="D62" s="15">
        <v>40360</v>
      </c>
      <c r="E62" s="4">
        <v>33.82</v>
      </c>
      <c r="F62" s="4">
        <v>133.82</v>
      </c>
      <c r="G62" s="15">
        <v>13649.75</v>
      </c>
      <c r="I62" s="15">
        <f>I61</f>
        <v>54009.75</v>
      </c>
    </row>
    <row r="63" spans="1:9" x14ac:dyDescent="0.25">
      <c r="A63" s="2" t="s">
        <v>12</v>
      </c>
      <c r="B63" s="2" t="s">
        <v>12</v>
      </c>
    </row>
    <row r="64" spans="1:9" x14ac:dyDescent="0.25">
      <c r="A64" s="3" t="s">
        <v>96</v>
      </c>
      <c r="B64" s="3" t="s">
        <v>97</v>
      </c>
      <c r="C64" s="15">
        <v>3684889.29</v>
      </c>
      <c r="D64" s="15">
        <v>7545065</v>
      </c>
      <c r="E64" s="4">
        <v>-51.16</v>
      </c>
      <c r="F64" s="4">
        <v>48.84</v>
      </c>
      <c r="G64" s="15">
        <v>-3860175.71</v>
      </c>
      <c r="I64" s="15">
        <f>I62+I58+I45</f>
        <v>7212973.0499999998</v>
      </c>
    </row>
    <row r="65" spans="1:9" x14ac:dyDescent="0.25">
      <c r="A65" s="2" t="s">
        <v>12</v>
      </c>
      <c r="B65" s="2" t="s">
        <v>12</v>
      </c>
    </row>
    <row r="66" spans="1:9" x14ac:dyDescent="0.25">
      <c r="A66" s="3" t="s">
        <v>98</v>
      </c>
      <c r="B66" s="3" t="s">
        <v>99</v>
      </c>
      <c r="C66" s="15"/>
      <c r="D66" s="15"/>
      <c r="E66" s="4"/>
      <c r="F66" s="4"/>
      <c r="G66" s="15"/>
      <c r="I66" s="15"/>
    </row>
    <row r="67" spans="1:9" x14ac:dyDescent="0.25">
      <c r="A67" s="2" t="s">
        <v>100</v>
      </c>
      <c r="B67" s="2" t="s">
        <v>101</v>
      </c>
    </row>
    <row r="68" spans="1:9" x14ac:dyDescent="0.25">
      <c r="A68" s="2" t="s">
        <v>102</v>
      </c>
      <c r="B68" s="2" t="s">
        <v>103</v>
      </c>
    </row>
    <row r="69" spans="1:9" x14ac:dyDescent="0.25">
      <c r="A69" s="3" t="s">
        <v>104</v>
      </c>
      <c r="B69" s="3" t="s">
        <v>105</v>
      </c>
      <c r="C69" s="15"/>
      <c r="D69" s="15"/>
      <c r="E69" s="4"/>
      <c r="F69" s="4"/>
      <c r="G69" s="15"/>
      <c r="I69" s="15">
        <f>I68+I67</f>
        <v>0</v>
      </c>
    </row>
    <row r="70" spans="1:9" x14ac:dyDescent="0.25">
      <c r="A70" s="2" t="s">
        <v>12</v>
      </c>
      <c r="B70" s="2" t="s">
        <v>12</v>
      </c>
    </row>
    <row r="71" spans="1:9" x14ac:dyDescent="0.25">
      <c r="A71" s="3" t="s">
        <v>106</v>
      </c>
      <c r="B71" s="3" t="s">
        <v>107</v>
      </c>
      <c r="C71" s="15"/>
      <c r="D71" s="15"/>
      <c r="E71" s="4"/>
      <c r="F71" s="4"/>
      <c r="G71" s="15"/>
      <c r="I71" s="15"/>
    </row>
    <row r="72" spans="1:9" x14ac:dyDescent="0.25">
      <c r="A72" s="2" t="s">
        <v>108</v>
      </c>
      <c r="B72" s="2" t="s">
        <v>109</v>
      </c>
      <c r="C72" s="14">
        <v>-17400</v>
      </c>
      <c r="G72" s="14">
        <v>-17400</v>
      </c>
    </row>
    <row r="73" spans="1:9" x14ac:dyDescent="0.25">
      <c r="A73" s="2" t="s">
        <v>110</v>
      </c>
      <c r="B73" s="2" t="s">
        <v>111</v>
      </c>
      <c r="C73" s="14">
        <v>-606.25</v>
      </c>
      <c r="D73" s="14">
        <v>-8072</v>
      </c>
      <c r="E73">
        <v>-92.49</v>
      </c>
      <c r="F73">
        <v>7.51</v>
      </c>
      <c r="G73" s="14">
        <v>7465.75</v>
      </c>
    </row>
    <row r="74" spans="1:9" x14ac:dyDescent="0.25">
      <c r="A74" s="2" t="s">
        <v>112</v>
      </c>
      <c r="B74" s="2" t="s">
        <v>113</v>
      </c>
    </row>
    <row r="75" spans="1:9" x14ac:dyDescent="0.25">
      <c r="A75" s="2" t="s">
        <v>114</v>
      </c>
      <c r="B75" s="2" t="s">
        <v>115</v>
      </c>
      <c r="C75" s="14">
        <v>-960</v>
      </c>
      <c r="D75" s="14">
        <v>-5045</v>
      </c>
      <c r="E75">
        <v>-80.97</v>
      </c>
      <c r="F75">
        <v>19.03</v>
      </c>
      <c r="G75" s="14">
        <v>4085</v>
      </c>
      <c r="I75" s="14">
        <v>-1000</v>
      </c>
    </row>
    <row r="76" spans="1:9" x14ac:dyDescent="0.25">
      <c r="A76" s="3" t="s">
        <v>116</v>
      </c>
      <c r="B76" s="3" t="s">
        <v>117</v>
      </c>
      <c r="C76" s="15">
        <v>-18966.25</v>
      </c>
      <c r="D76" s="15">
        <v>-13117</v>
      </c>
      <c r="E76" s="4">
        <v>44.59</v>
      </c>
      <c r="F76" s="4">
        <v>144.59</v>
      </c>
      <c r="G76" s="15">
        <v>-5849.25</v>
      </c>
      <c r="I76" s="15">
        <f>SUM(I72:I75)</f>
        <v>-1000</v>
      </c>
    </row>
    <row r="77" spans="1:9" x14ac:dyDescent="0.25">
      <c r="A77" s="2" t="s">
        <v>12</v>
      </c>
      <c r="B77" s="2" t="s">
        <v>12</v>
      </c>
    </row>
    <row r="78" spans="1:9" x14ac:dyDescent="0.25">
      <c r="A78" s="3" t="s">
        <v>118</v>
      </c>
      <c r="B78" s="3" t="s">
        <v>119</v>
      </c>
      <c r="C78" s="15"/>
      <c r="D78" s="15"/>
      <c r="E78" s="4"/>
      <c r="F78" s="4"/>
      <c r="G78" s="15"/>
      <c r="I78" s="15"/>
    </row>
    <row r="79" spans="1:9" x14ac:dyDescent="0.25">
      <c r="A79" s="2" t="s">
        <v>120</v>
      </c>
      <c r="B79" s="2" t="s">
        <v>121</v>
      </c>
    </row>
    <row r="80" spans="1:9" x14ac:dyDescent="0.25">
      <c r="A80" s="2" t="s">
        <v>122</v>
      </c>
      <c r="B80" s="2" t="s">
        <v>123</v>
      </c>
    </row>
    <row r="81" spans="1:11" x14ac:dyDescent="0.25">
      <c r="A81" s="3" t="s">
        <v>124</v>
      </c>
      <c r="B81" s="3" t="s">
        <v>125</v>
      </c>
      <c r="C81" s="15"/>
      <c r="D81" s="15"/>
      <c r="E81" s="4"/>
      <c r="F81" s="4"/>
      <c r="G81" s="15"/>
      <c r="I81" s="15">
        <f>SUM(I78:I80)</f>
        <v>0</v>
      </c>
    </row>
    <row r="82" spans="1:11" x14ac:dyDescent="0.25">
      <c r="A82" s="2" t="s">
        <v>12</v>
      </c>
      <c r="B82" s="2" t="s">
        <v>12</v>
      </c>
    </row>
    <row r="83" spans="1:11" x14ac:dyDescent="0.25">
      <c r="A83" s="3" t="s">
        <v>126</v>
      </c>
      <c r="B83" s="3" t="s">
        <v>30</v>
      </c>
      <c r="C83" s="15"/>
      <c r="D83" s="15"/>
      <c r="E83" s="4"/>
      <c r="F83" s="4"/>
      <c r="G83" s="15"/>
      <c r="I83" s="15"/>
    </row>
    <row r="84" spans="1:11" x14ac:dyDescent="0.25">
      <c r="A84" s="2" t="s">
        <v>127</v>
      </c>
      <c r="B84" s="2" t="s">
        <v>128</v>
      </c>
      <c r="K84" t="str">
        <f>IF(I84&gt;0,1," ")</f>
        <v xml:space="preserve"> </v>
      </c>
    </row>
    <row r="85" spans="1:11" x14ac:dyDescent="0.25">
      <c r="A85" s="2" t="s">
        <v>129</v>
      </c>
      <c r="B85" s="2" t="s">
        <v>130</v>
      </c>
      <c r="K85" t="str">
        <f t="shared" ref="K85:K148" si="0">IF(I85&gt;0,1," ")</f>
        <v xml:space="preserve"> </v>
      </c>
    </row>
    <row r="86" spans="1:11" x14ac:dyDescent="0.25">
      <c r="A86" s="2" t="s">
        <v>131</v>
      </c>
      <c r="B86" s="2" t="s">
        <v>132</v>
      </c>
      <c r="K86" t="str">
        <f t="shared" si="0"/>
        <v xml:space="preserve"> </v>
      </c>
    </row>
    <row r="87" spans="1:11" x14ac:dyDescent="0.25">
      <c r="A87" s="2" t="s">
        <v>133</v>
      </c>
      <c r="B87" s="2" t="s">
        <v>134</v>
      </c>
      <c r="K87" t="str">
        <f t="shared" si="0"/>
        <v xml:space="preserve"> </v>
      </c>
    </row>
    <row r="88" spans="1:11" x14ac:dyDescent="0.25">
      <c r="A88" s="2" t="s">
        <v>135</v>
      </c>
      <c r="B88" s="2" t="s">
        <v>136</v>
      </c>
      <c r="K88" t="str">
        <f t="shared" si="0"/>
        <v xml:space="preserve"> </v>
      </c>
    </row>
    <row r="89" spans="1:11" x14ac:dyDescent="0.25">
      <c r="A89" s="2" t="s">
        <v>137</v>
      </c>
      <c r="B89" s="2" t="s">
        <v>138</v>
      </c>
      <c r="C89" s="14">
        <v>-3069415.34</v>
      </c>
      <c r="D89" s="14">
        <v>-5172349.4800000004</v>
      </c>
      <c r="E89">
        <v>-40.659999999999997</v>
      </c>
      <c r="F89">
        <v>59.34</v>
      </c>
      <c r="G89" s="14">
        <v>2102934.14</v>
      </c>
      <c r="I89" s="14">
        <f>-5086928.83-77000</f>
        <v>-5163928.83</v>
      </c>
      <c r="K89" t="str">
        <f t="shared" si="0"/>
        <v xml:space="preserve"> </v>
      </c>
    </row>
    <row r="90" spans="1:11" x14ac:dyDescent="0.25">
      <c r="A90" s="2" t="s">
        <v>139</v>
      </c>
      <c r="B90" s="2" t="s">
        <v>140</v>
      </c>
      <c r="K90" t="str">
        <f t="shared" si="0"/>
        <v xml:space="preserve"> </v>
      </c>
    </row>
    <row r="91" spans="1:11" x14ac:dyDescent="0.25">
      <c r="A91" s="2" t="s">
        <v>141</v>
      </c>
      <c r="B91" s="2" t="s">
        <v>142</v>
      </c>
      <c r="K91" t="str">
        <f t="shared" si="0"/>
        <v xml:space="preserve"> </v>
      </c>
    </row>
    <row r="92" spans="1:11" x14ac:dyDescent="0.25">
      <c r="A92" s="2" t="s">
        <v>143</v>
      </c>
      <c r="B92" s="2" t="s">
        <v>144</v>
      </c>
      <c r="I92" s="14">
        <v>-131962.5</v>
      </c>
      <c r="K92" t="str">
        <f t="shared" si="0"/>
        <v xml:space="preserve"> </v>
      </c>
    </row>
    <row r="93" spans="1:11" x14ac:dyDescent="0.25">
      <c r="A93" s="2" t="s">
        <v>145</v>
      </c>
      <c r="B93" s="2" t="s">
        <v>146</v>
      </c>
      <c r="K93" t="str">
        <f t="shared" si="0"/>
        <v xml:space="preserve"> </v>
      </c>
    </row>
    <row r="94" spans="1:11" x14ac:dyDescent="0.25">
      <c r="A94" s="2" t="s">
        <v>147</v>
      </c>
      <c r="B94" s="2" t="s">
        <v>148</v>
      </c>
      <c r="K94" t="str">
        <f t="shared" si="0"/>
        <v xml:space="preserve"> </v>
      </c>
    </row>
    <row r="95" spans="1:11" x14ac:dyDescent="0.25">
      <c r="A95" s="2" t="s">
        <v>149</v>
      </c>
      <c r="B95" s="2" t="s">
        <v>150</v>
      </c>
      <c r="K95" t="str">
        <f t="shared" si="0"/>
        <v xml:space="preserve"> </v>
      </c>
    </row>
    <row r="96" spans="1:11" x14ac:dyDescent="0.25">
      <c r="A96" s="2" t="s">
        <v>151</v>
      </c>
      <c r="B96" s="2" t="s">
        <v>152</v>
      </c>
      <c r="K96" t="str">
        <f t="shared" si="0"/>
        <v xml:space="preserve"> </v>
      </c>
    </row>
    <row r="97" spans="1:11" x14ac:dyDescent="0.25">
      <c r="A97" s="2" t="s">
        <v>153</v>
      </c>
      <c r="B97" s="2" t="s">
        <v>154</v>
      </c>
      <c r="K97" t="str">
        <f t="shared" si="0"/>
        <v xml:space="preserve"> </v>
      </c>
    </row>
    <row r="98" spans="1:11" x14ac:dyDescent="0.25">
      <c r="A98" s="2" t="s">
        <v>155</v>
      </c>
      <c r="B98" s="2" t="s">
        <v>156</v>
      </c>
      <c r="K98" t="str">
        <f t="shared" si="0"/>
        <v xml:space="preserve"> </v>
      </c>
    </row>
    <row r="99" spans="1:11" x14ac:dyDescent="0.25">
      <c r="A99" s="2" t="s">
        <v>157</v>
      </c>
      <c r="B99" s="2" t="s">
        <v>158</v>
      </c>
      <c r="K99" t="str">
        <f t="shared" si="0"/>
        <v xml:space="preserve"> </v>
      </c>
    </row>
    <row r="100" spans="1:11" x14ac:dyDescent="0.25">
      <c r="A100" s="2" t="s">
        <v>159</v>
      </c>
      <c r="B100" s="2" t="s">
        <v>160</v>
      </c>
      <c r="K100" t="str">
        <f t="shared" si="0"/>
        <v xml:space="preserve"> </v>
      </c>
    </row>
    <row r="101" spans="1:11" x14ac:dyDescent="0.25">
      <c r="A101" s="2" t="s">
        <v>161</v>
      </c>
      <c r="B101" s="2" t="s">
        <v>162</v>
      </c>
      <c r="K101" t="str">
        <f t="shared" si="0"/>
        <v xml:space="preserve"> </v>
      </c>
    </row>
    <row r="102" spans="1:11" x14ac:dyDescent="0.25">
      <c r="A102" s="2" t="s">
        <v>163</v>
      </c>
      <c r="B102" s="2" t="s">
        <v>164</v>
      </c>
      <c r="K102" t="str">
        <f t="shared" si="0"/>
        <v xml:space="preserve"> </v>
      </c>
    </row>
    <row r="103" spans="1:11" x14ac:dyDescent="0.25">
      <c r="A103" s="2" t="s">
        <v>165</v>
      </c>
      <c r="B103" s="2" t="s">
        <v>166</v>
      </c>
      <c r="K103" t="str">
        <f t="shared" si="0"/>
        <v xml:space="preserve"> </v>
      </c>
    </row>
    <row r="104" spans="1:11" x14ac:dyDescent="0.25">
      <c r="A104" s="2" t="s">
        <v>167</v>
      </c>
      <c r="B104" s="2" t="s">
        <v>168</v>
      </c>
      <c r="K104" t="str">
        <f t="shared" si="0"/>
        <v xml:space="preserve"> </v>
      </c>
    </row>
    <row r="105" spans="1:11" x14ac:dyDescent="0.25">
      <c r="A105" s="2" t="s">
        <v>169</v>
      </c>
      <c r="B105" s="2" t="s">
        <v>170</v>
      </c>
      <c r="K105" t="str">
        <f t="shared" si="0"/>
        <v xml:space="preserve"> </v>
      </c>
    </row>
    <row r="106" spans="1:11" x14ac:dyDescent="0.25">
      <c r="A106" s="3" t="s">
        <v>171</v>
      </c>
      <c r="B106" s="3" t="s">
        <v>172</v>
      </c>
      <c r="C106" s="15">
        <v>-3069415.34</v>
      </c>
      <c r="D106" s="15">
        <v>-5172349.4800000004</v>
      </c>
      <c r="E106" s="4">
        <v>-40.659999999999997</v>
      </c>
      <c r="F106" s="4">
        <v>59.34</v>
      </c>
      <c r="G106" s="15">
        <v>2102934.14</v>
      </c>
      <c r="I106" s="15">
        <f>SUM(I84:I105)</f>
        <v>-5295891.33</v>
      </c>
      <c r="K106" t="str">
        <f t="shared" si="0"/>
        <v xml:space="preserve"> </v>
      </c>
    </row>
    <row r="107" spans="1:11" x14ac:dyDescent="0.25">
      <c r="A107" s="2" t="s">
        <v>12</v>
      </c>
      <c r="B107" s="2" t="s">
        <v>12</v>
      </c>
      <c r="K107" t="str">
        <f t="shared" si="0"/>
        <v xml:space="preserve"> </v>
      </c>
    </row>
    <row r="108" spans="1:11" x14ac:dyDescent="0.25">
      <c r="A108" s="3" t="s">
        <v>173</v>
      </c>
      <c r="B108" s="3" t="s">
        <v>174</v>
      </c>
      <c r="C108" s="15"/>
      <c r="D108" s="15"/>
      <c r="E108" s="4"/>
      <c r="F108" s="4"/>
      <c r="G108" s="15"/>
      <c r="I108" s="15"/>
      <c r="K108" t="str">
        <f t="shared" si="0"/>
        <v xml:space="preserve"> </v>
      </c>
    </row>
    <row r="109" spans="1:11" x14ac:dyDescent="0.25">
      <c r="A109" s="2" t="s">
        <v>175</v>
      </c>
      <c r="B109" s="2" t="s">
        <v>174</v>
      </c>
      <c r="C109" s="14">
        <v>-465721.42</v>
      </c>
      <c r="D109" s="14">
        <v>-1002924.34</v>
      </c>
      <c r="E109">
        <v>-53.56</v>
      </c>
      <c r="F109">
        <v>46.44</v>
      </c>
      <c r="G109" s="14">
        <v>537202.92000000004</v>
      </c>
      <c r="I109" s="14">
        <v>0</v>
      </c>
      <c r="K109" t="str">
        <f t="shared" si="0"/>
        <v xml:space="preserve"> </v>
      </c>
    </row>
    <row r="110" spans="1:11" x14ac:dyDescent="0.25">
      <c r="A110" s="2" t="s">
        <v>176</v>
      </c>
      <c r="B110" s="2" t="s">
        <v>177</v>
      </c>
      <c r="K110" t="str">
        <f t="shared" si="0"/>
        <v xml:space="preserve"> </v>
      </c>
    </row>
    <row r="111" spans="1:11" x14ac:dyDescent="0.25">
      <c r="A111" s="3" t="s">
        <v>178</v>
      </c>
      <c r="B111" s="3" t="s">
        <v>179</v>
      </c>
      <c r="C111" s="15">
        <v>-465721.42</v>
      </c>
      <c r="D111" s="15">
        <v>-1002924.34</v>
      </c>
      <c r="E111" s="4">
        <v>-53.56</v>
      </c>
      <c r="F111" s="4">
        <v>46.44</v>
      </c>
      <c r="G111" s="15">
        <v>537202.92000000004</v>
      </c>
      <c r="I111" s="15">
        <f>I110+I109</f>
        <v>0</v>
      </c>
      <c r="K111" t="str">
        <f t="shared" si="0"/>
        <v xml:space="preserve"> </v>
      </c>
    </row>
    <row r="112" spans="1:11" x14ac:dyDescent="0.25">
      <c r="A112" s="2" t="s">
        <v>12</v>
      </c>
      <c r="B112" s="2" t="s">
        <v>12</v>
      </c>
      <c r="K112" t="str">
        <f t="shared" si="0"/>
        <v xml:space="preserve"> </v>
      </c>
    </row>
    <row r="113" spans="1:11" x14ac:dyDescent="0.25">
      <c r="A113" s="3" t="s">
        <v>180</v>
      </c>
      <c r="B113" s="3" t="s">
        <v>181</v>
      </c>
      <c r="C113" s="15"/>
      <c r="D113" s="15"/>
      <c r="E113" s="4"/>
      <c r="F113" s="4"/>
      <c r="G113" s="15"/>
      <c r="I113" s="15"/>
      <c r="K113" t="str">
        <f t="shared" si="0"/>
        <v xml:space="preserve"> </v>
      </c>
    </row>
    <row r="114" spans="1:11" x14ac:dyDescent="0.25">
      <c r="A114" s="2" t="s">
        <v>182</v>
      </c>
      <c r="B114" s="2" t="s">
        <v>183</v>
      </c>
      <c r="C114" s="14">
        <v>165179.85999999999</v>
      </c>
      <c r="D114" s="14">
        <v>340291.56</v>
      </c>
      <c r="E114">
        <v>-51.46</v>
      </c>
      <c r="F114">
        <v>48.54</v>
      </c>
      <c r="G114" s="14">
        <v>-175111.7</v>
      </c>
      <c r="I114" s="14">
        <v>383313.12</v>
      </c>
      <c r="K114">
        <f t="shared" si="0"/>
        <v>1</v>
      </c>
    </row>
    <row r="115" spans="1:11" x14ac:dyDescent="0.25">
      <c r="A115" s="2" t="s">
        <v>184</v>
      </c>
      <c r="B115" s="2" t="s">
        <v>185</v>
      </c>
      <c r="C115" s="14">
        <v>37988</v>
      </c>
      <c r="G115" s="14">
        <v>37988</v>
      </c>
      <c r="K115" t="str">
        <f t="shared" si="0"/>
        <v xml:space="preserve"> </v>
      </c>
    </row>
    <row r="116" spans="1:11" x14ac:dyDescent="0.25">
      <c r="A116" s="2" t="s">
        <v>186</v>
      </c>
      <c r="B116" s="2" t="s">
        <v>187</v>
      </c>
      <c r="K116" t="str">
        <f t="shared" si="0"/>
        <v xml:space="preserve"> </v>
      </c>
    </row>
    <row r="117" spans="1:11" x14ac:dyDescent="0.25">
      <c r="A117" s="2" t="s">
        <v>188</v>
      </c>
      <c r="B117" s="2" t="s">
        <v>189</v>
      </c>
      <c r="K117" t="str">
        <f t="shared" si="0"/>
        <v xml:space="preserve"> </v>
      </c>
    </row>
    <row r="118" spans="1:11" x14ac:dyDescent="0.25">
      <c r="A118" s="2" t="s">
        <v>190</v>
      </c>
      <c r="B118" s="2" t="s">
        <v>191</v>
      </c>
      <c r="K118" t="str">
        <f t="shared" si="0"/>
        <v xml:space="preserve"> </v>
      </c>
    </row>
    <row r="119" spans="1:11" x14ac:dyDescent="0.25">
      <c r="A119" s="2" t="s">
        <v>192</v>
      </c>
      <c r="B119" s="2" t="s">
        <v>193</v>
      </c>
      <c r="K119" t="str">
        <f t="shared" si="0"/>
        <v xml:space="preserve"> </v>
      </c>
    </row>
    <row r="120" spans="1:11" x14ac:dyDescent="0.25">
      <c r="A120" s="2" t="s">
        <v>194</v>
      </c>
      <c r="B120" s="2" t="s">
        <v>195</v>
      </c>
      <c r="K120" t="str">
        <f t="shared" si="0"/>
        <v xml:space="preserve"> </v>
      </c>
    </row>
    <row r="121" spans="1:11" x14ac:dyDescent="0.25">
      <c r="A121" s="3" t="s">
        <v>196</v>
      </c>
      <c r="B121" s="3" t="s">
        <v>197</v>
      </c>
      <c r="C121" s="15">
        <v>203167.86</v>
      </c>
      <c r="D121" s="15">
        <v>340291.56</v>
      </c>
      <c r="E121" s="4">
        <v>-40.299999999999997</v>
      </c>
      <c r="F121" s="4">
        <v>59.7</v>
      </c>
      <c r="G121" s="15">
        <v>-137123.70000000001</v>
      </c>
      <c r="I121" s="15">
        <f>SUM(I114:I120)</f>
        <v>383313.12</v>
      </c>
      <c r="K121">
        <f t="shared" si="0"/>
        <v>1</v>
      </c>
    </row>
    <row r="122" spans="1:11" x14ac:dyDescent="0.25">
      <c r="A122" s="3" t="s">
        <v>198</v>
      </c>
      <c r="B122" s="3" t="s">
        <v>199</v>
      </c>
      <c r="C122" s="15">
        <v>-3331968.9</v>
      </c>
      <c r="D122" s="15">
        <v>-5834982.2599999998</v>
      </c>
      <c r="E122" s="4">
        <v>-42.9</v>
      </c>
      <c r="F122" s="4">
        <v>57.1</v>
      </c>
      <c r="G122" s="15">
        <v>2503013.36</v>
      </c>
      <c r="I122" s="15">
        <f>I121+I111+I106</f>
        <v>-4912578.21</v>
      </c>
      <c r="K122" t="str">
        <f t="shared" si="0"/>
        <v xml:space="preserve"> </v>
      </c>
    </row>
    <row r="123" spans="1:11" x14ac:dyDescent="0.25">
      <c r="A123" s="2" t="s">
        <v>12</v>
      </c>
      <c r="B123" s="2" t="s">
        <v>12</v>
      </c>
      <c r="K123" t="str">
        <f t="shared" si="0"/>
        <v xml:space="preserve"> </v>
      </c>
    </row>
    <row r="124" spans="1:11" x14ac:dyDescent="0.25">
      <c r="A124" s="3" t="s">
        <v>200</v>
      </c>
      <c r="B124" s="3" t="s">
        <v>201</v>
      </c>
      <c r="C124" s="15">
        <v>-3350935.15</v>
      </c>
      <c r="D124" s="15">
        <v>-5848099.2599999998</v>
      </c>
      <c r="E124" s="4">
        <v>-42.7</v>
      </c>
      <c r="F124" s="4">
        <v>57.3</v>
      </c>
      <c r="G124" s="15">
        <v>2497164.11</v>
      </c>
      <c r="I124" s="15">
        <f>I122+I81+I76+I69</f>
        <v>-4913578.21</v>
      </c>
      <c r="K124" t="str">
        <f t="shared" si="0"/>
        <v xml:space="preserve"> </v>
      </c>
    </row>
    <row r="125" spans="1:11" x14ac:dyDescent="0.25">
      <c r="A125" s="2" t="s">
        <v>12</v>
      </c>
      <c r="B125" s="2" t="s">
        <v>12</v>
      </c>
      <c r="K125" t="str">
        <f t="shared" si="0"/>
        <v xml:space="preserve"> </v>
      </c>
    </row>
    <row r="126" spans="1:11" x14ac:dyDescent="0.25">
      <c r="A126" s="3" t="s">
        <v>202</v>
      </c>
      <c r="B126" s="3" t="s">
        <v>203</v>
      </c>
      <c r="C126" s="15">
        <v>333954.14</v>
      </c>
      <c r="D126" s="15">
        <v>1696965.74</v>
      </c>
      <c r="E126" s="4">
        <v>-80.319999999999993</v>
      </c>
      <c r="F126" s="4">
        <v>19.68</v>
      </c>
      <c r="G126" s="15">
        <v>-1363011.6</v>
      </c>
      <c r="I126" s="15">
        <f>I64+I124</f>
        <v>2299394.84</v>
      </c>
      <c r="K126">
        <f t="shared" si="0"/>
        <v>1</v>
      </c>
    </row>
    <row r="127" spans="1:11" x14ac:dyDescent="0.25">
      <c r="A127" s="2" t="s">
        <v>12</v>
      </c>
      <c r="B127" s="2" t="s">
        <v>12</v>
      </c>
      <c r="K127" t="str">
        <f t="shared" si="0"/>
        <v xml:space="preserve"> </v>
      </c>
    </row>
    <row r="128" spans="1:11" x14ac:dyDescent="0.25">
      <c r="A128" s="3" t="s">
        <v>204</v>
      </c>
      <c r="B128" s="3" t="s">
        <v>205</v>
      </c>
      <c r="C128" s="15"/>
      <c r="D128" s="15"/>
      <c r="E128" s="4"/>
      <c r="F128" s="4"/>
      <c r="G128" s="15"/>
      <c r="I128" s="15"/>
      <c r="K128" t="str">
        <f t="shared" si="0"/>
        <v xml:space="preserve"> </v>
      </c>
    </row>
    <row r="129" spans="1:11" x14ac:dyDescent="0.25">
      <c r="A129" s="2" t="s">
        <v>206</v>
      </c>
      <c r="B129" s="2" t="s">
        <v>207</v>
      </c>
      <c r="C129" s="14">
        <v>13395</v>
      </c>
      <c r="D129" s="14">
        <v>25225</v>
      </c>
      <c r="E129">
        <v>-46.9</v>
      </c>
      <c r="F129">
        <v>53.1</v>
      </c>
      <c r="G129" s="14">
        <v>-11830</v>
      </c>
      <c r="I129" s="14">
        <v>25000</v>
      </c>
      <c r="K129">
        <f t="shared" si="0"/>
        <v>1</v>
      </c>
    </row>
    <row r="130" spans="1:11" x14ac:dyDescent="0.25">
      <c r="A130" s="2" t="s">
        <v>208</v>
      </c>
      <c r="B130" s="2" t="s">
        <v>209</v>
      </c>
      <c r="K130" t="str">
        <f t="shared" si="0"/>
        <v xml:space="preserve"> </v>
      </c>
    </row>
    <row r="131" spans="1:11" x14ac:dyDescent="0.25">
      <c r="A131" s="2" t="s">
        <v>210</v>
      </c>
      <c r="B131" s="2" t="s">
        <v>211</v>
      </c>
      <c r="K131" t="str">
        <f t="shared" si="0"/>
        <v xml:space="preserve"> </v>
      </c>
    </row>
    <row r="132" spans="1:11" x14ac:dyDescent="0.25">
      <c r="A132" s="2" t="s">
        <v>212</v>
      </c>
      <c r="B132" s="2" t="s">
        <v>213</v>
      </c>
      <c r="K132" t="str">
        <f t="shared" si="0"/>
        <v xml:space="preserve"> </v>
      </c>
    </row>
    <row r="133" spans="1:11" x14ac:dyDescent="0.25">
      <c r="A133" s="2" t="s">
        <v>214</v>
      </c>
      <c r="B133" s="2" t="s">
        <v>215</v>
      </c>
      <c r="K133" t="str">
        <f t="shared" si="0"/>
        <v xml:space="preserve"> </v>
      </c>
    </row>
    <row r="134" spans="1:11" x14ac:dyDescent="0.25">
      <c r="A134" s="2" t="s">
        <v>216</v>
      </c>
      <c r="B134" s="2" t="s">
        <v>217</v>
      </c>
      <c r="K134" t="str">
        <f t="shared" si="0"/>
        <v xml:space="preserve"> </v>
      </c>
    </row>
    <row r="135" spans="1:11" x14ac:dyDescent="0.25">
      <c r="A135" s="3" t="s">
        <v>218</v>
      </c>
      <c r="B135" s="3" t="s">
        <v>219</v>
      </c>
      <c r="C135" s="15">
        <v>13395</v>
      </c>
      <c r="D135" s="15">
        <v>25225</v>
      </c>
      <c r="E135" s="4">
        <v>-46.9</v>
      </c>
      <c r="F135" s="4">
        <v>53.1</v>
      </c>
      <c r="G135" s="15">
        <v>-11830</v>
      </c>
      <c r="I135" s="15">
        <f>SUM(I129:I134)</f>
        <v>25000</v>
      </c>
      <c r="K135">
        <f t="shared" si="0"/>
        <v>1</v>
      </c>
    </row>
    <row r="136" spans="1:11" x14ac:dyDescent="0.25">
      <c r="A136" s="2" t="s">
        <v>12</v>
      </c>
      <c r="B136" s="2" t="s">
        <v>12</v>
      </c>
      <c r="K136" t="str">
        <f t="shared" si="0"/>
        <v xml:space="preserve"> </v>
      </c>
    </row>
    <row r="137" spans="1:11" x14ac:dyDescent="0.25">
      <c r="A137" s="3" t="s">
        <v>220</v>
      </c>
      <c r="B137" s="3" t="s">
        <v>221</v>
      </c>
      <c r="C137" s="15"/>
      <c r="D137" s="15"/>
      <c r="E137" s="4"/>
      <c r="F137" s="4"/>
      <c r="G137" s="15"/>
      <c r="I137" s="15"/>
      <c r="K137" t="str">
        <f t="shared" si="0"/>
        <v xml:space="preserve"> </v>
      </c>
    </row>
    <row r="138" spans="1:11" x14ac:dyDescent="0.25">
      <c r="A138" s="2" t="s">
        <v>222</v>
      </c>
      <c r="B138" s="2" t="s">
        <v>223</v>
      </c>
      <c r="K138" t="str">
        <f t="shared" si="0"/>
        <v xml:space="preserve"> </v>
      </c>
    </row>
    <row r="139" spans="1:11" x14ac:dyDescent="0.25">
      <c r="A139" s="2" t="s">
        <v>224</v>
      </c>
      <c r="B139" s="2" t="s">
        <v>225</v>
      </c>
      <c r="K139" t="str">
        <f t="shared" si="0"/>
        <v xml:space="preserve"> </v>
      </c>
    </row>
    <row r="140" spans="1:11" x14ac:dyDescent="0.25">
      <c r="A140" s="2" t="s">
        <v>226</v>
      </c>
      <c r="B140" s="2" t="s">
        <v>227</v>
      </c>
      <c r="C140" s="14">
        <v>-488791.72</v>
      </c>
      <c r="D140" s="14">
        <v>-1940637</v>
      </c>
      <c r="E140">
        <v>-74.81</v>
      </c>
      <c r="F140">
        <v>25.19</v>
      </c>
      <c r="G140" s="14">
        <v>1451845.28</v>
      </c>
      <c r="I140" s="14">
        <f>(Administration!I139+Laks!I140)*49.5/-440</f>
        <v>-1943930.9726999998</v>
      </c>
      <c r="K140" t="str">
        <f t="shared" si="0"/>
        <v xml:space="preserve"> </v>
      </c>
    </row>
    <row r="141" spans="1:11" x14ac:dyDescent="0.25">
      <c r="A141" s="2" t="s">
        <v>228</v>
      </c>
      <c r="B141" s="2" t="s">
        <v>229</v>
      </c>
      <c r="K141" t="str">
        <f t="shared" si="0"/>
        <v xml:space="preserve"> </v>
      </c>
    </row>
    <row r="142" spans="1:11" x14ac:dyDescent="0.25">
      <c r="A142" s="2" t="s">
        <v>230</v>
      </c>
      <c r="B142" s="2" t="s">
        <v>231</v>
      </c>
      <c r="C142" s="14">
        <v>-1300</v>
      </c>
      <c r="G142" s="14">
        <v>-1300</v>
      </c>
      <c r="K142" t="str">
        <f t="shared" si="0"/>
        <v xml:space="preserve"> </v>
      </c>
    </row>
    <row r="143" spans="1:11" x14ac:dyDescent="0.25">
      <c r="A143" s="2" t="s">
        <v>232</v>
      </c>
      <c r="B143" s="2" t="s">
        <v>233</v>
      </c>
      <c r="C143" s="14">
        <v>-25342.99</v>
      </c>
      <c r="D143" s="14">
        <v>-24216</v>
      </c>
      <c r="E143">
        <v>4.6500000000000004</v>
      </c>
      <c r="F143">
        <v>104.65</v>
      </c>
      <c r="G143" s="14">
        <v>-1126.99</v>
      </c>
      <c r="I143" s="14">
        <v>-26000</v>
      </c>
      <c r="K143" t="str">
        <f t="shared" si="0"/>
        <v xml:space="preserve"> </v>
      </c>
    </row>
    <row r="144" spans="1:11" x14ac:dyDescent="0.25">
      <c r="A144" s="2" t="s">
        <v>234</v>
      </c>
      <c r="B144" s="2" t="s">
        <v>235</v>
      </c>
      <c r="D144" s="14">
        <v>-5045</v>
      </c>
      <c r="E144">
        <v>-100</v>
      </c>
      <c r="G144" s="14">
        <v>5045</v>
      </c>
      <c r="I144" s="14">
        <v>0</v>
      </c>
      <c r="K144" t="str">
        <f t="shared" si="0"/>
        <v xml:space="preserve"> </v>
      </c>
    </row>
    <row r="145" spans="1:11" x14ac:dyDescent="0.25">
      <c r="A145" s="2" t="s">
        <v>236</v>
      </c>
      <c r="B145" s="2" t="s">
        <v>237</v>
      </c>
      <c r="D145" s="14">
        <v>-5045</v>
      </c>
      <c r="E145">
        <v>-100</v>
      </c>
      <c r="G145" s="14">
        <v>5045</v>
      </c>
      <c r="I145" s="14">
        <v>0</v>
      </c>
      <c r="K145" t="str">
        <f t="shared" si="0"/>
        <v xml:space="preserve"> </v>
      </c>
    </row>
    <row r="146" spans="1:11" x14ac:dyDescent="0.25">
      <c r="A146" s="2" t="s">
        <v>238</v>
      </c>
      <c r="B146" s="2" t="s">
        <v>239</v>
      </c>
      <c r="C146" s="14">
        <v>-137.52000000000001</v>
      </c>
      <c r="D146" s="14">
        <v>-5045</v>
      </c>
      <c r="E146">
        <v>-97.27</v>
      </c>
      <c r="F146">
        <v>2.73</v>
      </c>
      <c r="G146" s="14">
        <v>4907.4799999999996</v>
      </c>
      <c r="I146" s="14">
        <v>-2500</v>
      </c>
      <c r="K146" t="str">
        <f t="shared" si="0"/>
        <v xml:space="preserve"> </v>
      </c>
    </row>
    <row r="147" spans="1:11" x14ac:dyDescent="0.25">
      <c r="A147" s="2" t="s">
        <v>240</v>
      </c>
      <c r="B147" s="2" t="s">
        <v>241</v>
      </c>
      <c r="C147" s="14">
        <v>-17417.89</v>
      </c>
      <c r="G147" s="14">
        <v>-17417.89</v>
      </c>
      <c r="K147" t="str">
        <f t="shared" si="0"/>
        <v xml:space="preserve"> </v>
      </c>
    </row>
    <row r="148" spans="1:11" x14ac:dyDescent="0.25">
      <c r="A148" s="2" t="s">
        <v>242</v>
      </c>
      <c r="B148" s="2" t="s">
        <v>243</v>
      </c>
      <c r="I148" s="14">
        <v>-20000</v>
      </c>
      <c r="K148" t="str">
        <f t="shared" si="0"/>
        <v xml:space="preserve"> </v>
      </c>
    </row>
    <row r="149" spans="1:11" x14ac:dyDescent="0.25">
      <c r="A149" s="2" t="s">
        <v>244</v>
      </c>
      <c r="B149" s="2" t="s">
        <v>245</v>
      </c>
      <c r="C149" s="14">
        <v>-1629.99</v>
      </c>
      <c r="G149" s="14">
        <v>-1629.99</v>
      </c>
      <c r="I149" s="14">
        <v>-20000</v>
      </c>
      <c r="K149" t="str">
        <f t="shared" ref="K149:K212" si="1">IF(I149&gt;0,1," ")</f>
        <v xml:space="preserve"> </v>
      </c>
    </row>
    <row r="150" spans="1:11" x14ac:dyDescent="0.25">
      <c r="A150" s="2" t="s">
        <v>246</v>
      </c>
      <c r="B150" s="2" t="s">
        <v>247</v>
      </c>
      <c r="C150" s="14">
        <v>-12036.8</v>
      </c>
      <c r="G150" s="14">
        <v>-12036.8</v>
      </c>
      <c r="K150" t="str">
        <f t="shared" si="1"/>
        <v xml:space="preserve"> </v>
      </c>
    </row>
    <row r="151" spans="1:11" x14ac:dyDescent="0.25">
      <c r="A151" s="2" t="s">
        <v>248</v>
      </c>
      <c r="B151" s="2" t="s">
        <v>249</v>
      </c>
      <c r="C151" s="14">
        <v>-2747.21</v>
      </c>
      <c r="G151" s="14">
        <v>-2747.21</v>
      </c>
      <c r="I151" s="14">
        <v>-100000</v>
      </c>
      <c r="K151" t="str">
        <f t="shared" si="1"/>
        <v xml:space="preserve"> </v>
      </c>
    </row>
    <row r="152" spans="1:11" x14ac:dyDescent="0.25">
      <c r="A152" s="2" t="s">
        <v>250</v>
      </c>
      <c r="B152" s="2" t="s">
        <v>251</v>
      </c>
      <c r="K152" t="str">
        <f t="shared" si="1"/>
        <v xml:space="preserve"> </v>
      </c>
    </row>
    <row r="153" spans="1:11" x14ac:dyDescent="0.25">
      <c r="A153" s="2" t="s">
        <v>252</v>
      </c>
      <c r="B153" s="2" t="s">
        <v>253</v>
      </c>
      <c r="C153" s="14">
        <v>-517.29999999999995</v>
      </c>
      <c r="G153" s="14">
        <v>-517.29999999999995</v>
      </c>
      <c r="I153" s="14">
        <v>-517.29999999999995</v>
      </c>
      <c r="K153" t="str">
        <f t="shared" si="1"/>
        <v xml:space="preserve"> </v>
      </c>
    </row>
    <row r="154" spans="1:11" x14ac:dyDescent="0.25">
      <c r="A154" s="2" t="s">
        <v>254</v>
      </c>
      <c r="B154" s="2" t="s">
        <v>255</v>
      </c>
      <c r="K154" t="str">
        <f t="shared" si="1"/>
        <v xml:space="preserve"> </v>
      </c>
    </row>
    <row r="155" spans="1:11" x14ac:dyDescent="0.25">
      <c r="A155" s="2" t="s">
        <v>256</v>
      </c>
      <c r="B155" s="2" t="s">
        <v>257</v>
      </c>
      <c r="D155" s="14">
        <v>-5549.5</v>
      </c>
      <c r="E155">
        <v>-100</v>
      </c>
      <c r="G155" s="14">
        <v>5549.5</v>
      </c>
      <c r="I155" s="14">
        <f>-100*49.5</f>
        <v>-4950</v>
      </c>
      <c r="K155" t="str">
        <f t="shared" si="1"/>
        <v xml:space="preserve"> </v>
      </c>
    </row>
    <row r="156" spans="1:11" x14ac:dyDescent="0.25">
      <c r="A156" s="2" t="s">
        <v>258</v>
      </c>
      <c r="B156" s="2" t="s">
        <v>259</v>
      </c>
      <c r="K156" t="str">
        <f t="shared" si="1"/>
        <v xml:space="preserve"> </v>
      </c>
    </row>
    <row r="157" spans="1:11" x14ac:dyDescent="0.25">
      <c r="A157" s="2" t="s">
        <v>260</v>
      </c>
      <c r="B157" s="2" t="s">
        <v>261</v>
      </c>
      <c r="K157" t="str">
        <f t="shared" si="1"/>
        <v xml:space="preserve"> </v>
      </c>
    </row>
    <row r="158" spans="1:11" x14ac:dyDescent="0.25">
      <c r="A158" s="2" t="s">
        <v>262</v>
      </c>
      <c r="B158" s="2" t="s">
        <v>263</v>
      </c>
      <c r="C158" s="14">
        <v>-6441</v>
      </c>
      <c r="G158" s="14">
        <v>-6441</v>
      </c>
      <c r="K158" t="str">
        <f t="shared" si="1"/>
        <v xml:space="preserve"> </v>
      </c>
    </row>
    <row r="159" spans="1:11" x14ac:dyDescent="0.25">
      <c r="A159" s="2" t="s">
        <v>264</v>
      </c>
      <c r="B159" s="2" t="s">
        <v>265</v>
      </c>
      <c r="K159" t="str">
        <f t="shared" si="1"/>
        <v xml:space="preserve"> </v>
      </c>
    </row>
    <row r="160" spans="1:11" x14ac:dyDescent="0.25">
      <c r="A160" s="2" t="s">
        <v>266</v>
      </c>
      <c r="B160" s="2" t="s">
        <v>267</v>
      </c>
      <c r="K160" t="str">
        <f t="shared" si="1"/>
        <v xml:space="preserve"> </v>
      </c>
    </row>
    <row r="161" spans="1:11" x14ac:dyDescent="0.25">
      <c r="A161" s="2" t="s">
        <v>268</v>
      </c>
      <c r="B161" s="2" t="s">
        <v>269</v>
      </c>
      <c r="C161" s="14">
        <v>-63091.97</v>
      </c>
      <c r="D161" s="14">
        <v>-229547.5</v>
      </c>
      <c r="E161">
        <v>-72.510000000000005</v>
      </c>
      <c r="F161">
        <v>27.49</v>
      </c>
      <c r="G161" s="14">
        <v>166455.53</v>
      </c>
      <c r="I161" s="14">
        <v>-344321.25</v>
      </c>
      <c r="K161" t="str">
        <f t="shared" si="1"/>
        <v xml:space="preserve"> </v>
      </c>
    </row>
    <row r="162" spans="1:11" x14ac:dyDescent="0.25">
      <c r="A162" s="2" t="s">
        <v>270</v>
      </c>
      <c r="B162" s="2" t="s">
        <v>271</v>
      </c>
      <c r="C162" s="14">
        <v>-23889.31</v>
      </c>
      <c r="D162" s="14">
        <v>-201800</v>
      </c>
      <c r="E162">
        <v>-88.16</v>
      </c>
      <c r="F162">
        <v>11.84</v>
      </c>
      <c r="G162" s="14">
        <v>177910.69</v>
      </c>
      <c r="I162" s="14">
        <v>-302700</v>
      </c>
      <c r="K162" t="str">
        <f t="shared" si="1"/>
        <v xml:space="preserve"> </v>
      </c>
    </row>
    <row r="163" spans="1:11" x14ac:dyDescent="0.25">
      <c r="A163" s="2" t="s">
        <v>272</v>
      </c>
      <c r="B163" s="2" t="s">
        <v>273</v>
      </c>
      <c r="C163" s="14">
        <v>208.7</v>
      </c>
      <c r="D163" s="14">
        <v>-30270</v>
      </c>
      <c r="E163">
        <v>-100.69</v>
      </c>
      <c r="F163">
        <v>-0.69</v>
      </c>
      <c r="G163" s="14">
        <v>30478.7</v>
      </c>
      <c r="I163" s="14">
        <v>-30270</v>
      </c>
      <c r="K163" t="str">
        <f t="shared" si="1"/>
        <v xml:space="preserve"> </v>
      </c>
    </row>
    <row r="164" spans="1:11" x14ac:dyDescent="0.25">
      <c r="A164" s="2" t="s">
        <v>274</v>
      </c>
      <c r="B164" s="2" t="s">
        <v>275</v>
      </c>
      <c r="C164" s="14">
        <v>-18289.72</v>
      </c>
      <c r="D164" s="14">
        <v>-25225</v>
      </c>
      <c r="E164">
        <v>-27.49</v>
      </c>
      <c r="F164">
        <v>72.510000000000005</v>
      </c>
      <c r="G164" s="14">
        <v>6935.28</v>
      </c>
      <c r="I164" s="14">
        <v>-25225</v>
      </c>
      <c r="K164" t="str">
        <f t="shared" si="1"/>
        <v xml:space="preserve"> </v>
      </c>
    </row>
    <row r="165" spans="1:11" x14ac:dyDescent="0.25">
      <c r="A165" s="2" t="s">
        <v>276</v>
      </c>
      <c r="B165" s="2" t="s">
        <v>277</v>
      </c>
      <c r="K165" t="str">
        <f t="shared" si="1"/>
        <v xml:space="preserve"> </v>
      </c>
    </row>
    <row r="166" spans="1:11" x14ac:dyDescent="0.25">
      <c r="A166" s="2" t="s">
        <v>278</v>
      </c>
      <c r="B166" s="2" t="s">
        <v>279</v>
      </c>
      <c r="K166" t="str">
        <f t="shared" si="1"/>
        <v xml:space="preserve"> </v>
      </c>
    </row>
    <row r="167" spans="1:11" x14ac:dyDescent="0.25">
      <c r="A167" s="2" t="s">
        <v>280</v>
      </c>
      <c r="B167" s="2" t="s">
        <v>281</v>
      </c>
      <c r="C167" s="14">
        <v>-7511.48</v>
      </c>
      <c r="G167" s="14">
        <v>-7511.48</v>
      </c>
      <c r="I167" s="14">
        <v>-7511.48</v>
      </c>
      <c r="K167" t="str">
        <f t="shared" si="1"/>
        <v xml:space="preserve"> </v>
      </c>
    </row>
    <row r="168" spans="1:11" x14ac:dyDescent="0.25">
      <c r="A168" s="2" t="s">
        <v>282</v>
      </c>
      <c r="B168" s="2" t="s">
        <v>283</v>
      </c>
      <c r="C168" s="14">
        <v>-18050.86</v>
      </c>
      <c r="G168" s="14">
        <v>-18050.86</v>
      </c>
      <c r="I168" s="14">
        <v>-18050.86</v>
      </c>
      <c r="K168" t="str">
        <f t="shared" si="1"/>
        <v xml:space="preserve"> </v>
      </c>
    </row>
    <row r="169" spans="1:11" x14ac:dyDescent="0.25">
      <c r="A169" s="2" t="s">
        <v>284</v>
      </c>
      <c r="B169" s="2" t="s">
        <v>285</v>
      </c>
      <c r="K169" t="str">
        <f t="shared" si="1"/>
        <v xml:space="preserve"> </v>
      </c>
    </row>
    <row r="170" spans="1:11" x14ac:dyDescent="0.25">
      <c r="A170" s="2" t="s">
        <v>286</v>
      </c>
      <c r="B170" s="2" t="s">
        <v>287</v>
      </c>
      <c r="K170" t="str">
        <f t="shared" si="1"/>
        <v xml:space="preserve"> </v>
      </c>
    </row>
    <row r="171" spans="1:11" x14ac:dyDescent="0.25">
      <c r="A171" s="2" t="s">
        <v>288</v>
      </c>
      <c r="B171" s="2" t="s">
        <v>289</v>
      </c>
      <c r="K171" t="str">
        <f t="shared" si="1"/>
        <v xml:space="preserve"> </v>
      </c>
    </row>
    <row r="172" spans="1:11" x14ac:dyDescent="0.25">
      <c r="A172" s="2" t="s">
        <v>290</v>
      </c>
      <c r="B172" s="2" t="s">
        <v>291</v>
      </c>
      <c r="D172" s="14">
        <v>-10090</v>
      </c>
      <c r="E172">
        <v>-100</v>
      </c>
      <c r="G172" s="14">
        <v>10090</v>
      </c>
      <c r="I172" s="14">
        <v>-2500</v>
      </c>
      <c r="K172" t="str">
        <f t="shared" si="1"/>
        <v xml:space="preserve"> </v>
      </c>
    </row>
    <row r="173" spans="1:11" x14ac:dyDescent="0.25">
      <c r="A173" s="2" t="s">
        <v>292</v>
      </c>
      <c r="B173" s="2" t="s">
        <v>293</v>
      </c>
      <c r="C173" s="14">
        <v>-1592.34</v>
      </c>
      <c r="G173" s="14">
        <v>-1592.34</v>
      </c>
      <c r="I173" s="14">
        <v>-17000</v>
      </c>
      <c r="K173" t="str">
        <f t="shared" si="1"/>
        <v xml:space="preserve"> </v>
      </c>
    </row>
    <row r="174" spans="1:11" x14ac:dyDescent="0.25">
      <c r="A174" s="2" t="s">
        <v>294</v>
      </c>
      <c r="B174" s="2" t="s">
        <v>295</v>
      </c>
      <c r="C174" s="14">
        <v>-1338.4</v>
      </c>
      <c r="D174" s="14">
        <v>-10090</v>
      </c>
      <c r="E174">
        <v>-86.74</v>
      </c>
      <c r="F174">
        <v>13.26</v>
      </c>
      <c r="G174" s="14">
        <v>8751.6</v>
      </c>
      <c r="K174" t="str">
        <f t="shared" si="1"/>
        <v xml:space="preserve"> </v>
      </c>
    </row>
    <row r="175" spans="1:11" x14ac:dyDescent="0.25">
      <c r="A175" s="2" t="s">
        <v>296</v>
      </c>
      <c r="B175" s="2" t="s">
        <v>297</v>
      </c>
      <c r="D175" s="14">
        <v>-1009</v>
      </c>
      <c r="E175">
        <v>-100</v>
      </c>
      <c r="G175" s="14">
        <v>1009</v>
      </c>
      <c r="I175" s="14">
        <v>-2500</v>
      </c>
      <c r="K175" t="str">
        <f t="shared" si="1"/>
        <v xml:space="preserve"> </v>
      </c>
    </row>
    <row r="176" spans="1:11" x14ac:dyDescent="0.25">
      <c r="A176" s="2" t="s">
        <v>298</v>
      </c>
      <c r="B176" s="2" t="s">
        <v>299</v>
      </c>
      <c r="C176" s="14">
        <v>-82490.720000000001</v>
      </c>
      <c r="D176" s="14">
        <v>-201800</v>
      </c>
      <c r="E176">
        <v>-59.12</v>
      </c>
      <c r="F176">
        <v>40.880000000000003</v>
      </c>
      <c r="G176" s="14">
        <v>119309.28</v>
      </c>
      <c r="I176" s="14">
        <f>-20865*12-20000</f>
        <v>-270380</v>
      </c>
      <c r="K176" t="str">
        <f t="shared" si="1"/>
        <v xml:space="preserve"> </v>
      </c>
    </row>
    <row r="177" spans="1:11" x14ac:dyDescent="0.25">
      <c r="A177" s="2" t="s">
        <v>300</v>
      </c>
      <c r="B177" s="2" t="s">
        <v>301</v>
      </c>
      <c r="C177" s="14">
        <v>-3199.2</v>
      </c>
      <c r="D177" s="14">
        <v>-4036</v>
      </c>
      <c r="E177">
        <v>-20.73</v>
      </c>
      <c r="F177">
        <v>79.27</v>
      </c>
      <c r="G177" s="14">
        <v>836.8</v>
      </c>
      <c r="I177" s="14">
        <v>-4000</v>
      </c>
      <c r="K177" t="str">
        <f t="shared" si="1"/>
        <v xml:space="preserve"> </v>
      </c>
    </row>
    <row r="178" spans="1:11" x14ac:dyDescent="0.25">
      <c r="A178" s="2" t="s">
        <v>302</v>
      </c>
      <c r="B178" s="2" t="s">
        <v>303</v>
      </c>
      <c r="D178" s="14">
        <v>-7063</v>
      </c>
      <c r="E178">
        <v>-100</v>
      </c>
      <c r="G178" s="14">
        <v>7063</v>
      </c>
      <c r="I178" s="14">
        <f>-49.5*50</f>
        <v>-2475</v>
      </c>
      <c r="K178" t="str">
        <f t="shared" si="1"/>
        <v xml:space="preserve"> </v>
      </c>
    </row>
    <row r="179" spans="1:11" x14ac:dyDescent="0.25">
      <c r="A179" s="2" t="s">
        <v>304</v>
      </c>
      <c r="B179" s="2" t="s">
        <v>305</v>
      </c>
      <c r="D179" s="14">
        <v>-5045</v>
      </c>
      <c r="E179">
        <v>-100</v>
      </c>
      <c r="G179" s="14">
        <v>5045</v>
      </c>
      <c r="K179" t="str">
        <f t="shared" si="1"/>
        <v xml:space="preserve"> </v>
      </c>
    </row>
    <row r="180" spans="1:11" x14ac:dyDescent="0.25">
      <c r="A180" s="2" t="s">
        <v>306</v>
      </c>
      <c r="B180" s="2" t="s">
        <v>307</v>
      </c>
      <c r="D180" s="14">
        <v>-201800</v>
      </c>
      <c r="E180">
        <v>-100</v>
      </c>
      <c r="G180" s="14">
        <v>201800</v>
      </c>
      <c r="I180" s="14">
        <v>-201800</v>
      </c>
      <c r="K180" t="str">
        <f t="shared" si="1"/>
        <v xml:space="preserve"> </v>
      </c>
    </row>
    <row r="181" spans="1:11" x14ac:dyDescent="0.25">
      <c r="A181" s="2" t="s">
        <v>308</v>
      </c>
      <c r="B181" s="2" t="s">
        <v>309</v>
      </c>
      <c r="C181" s="14">
        <v>-3161</v>
      </c>
      <c r="D181" s="14">
        <v>-20180</v>
      </c>
      <c r="E181">
        <v>-84.34</v>
      </c>
      <c r="F181">
        <v>15.66</v>
      </c>
      <c r="G181" s="14">
        <v>17019</v>
      </c>
      <c r="I181" s="14">
        <f>-20180</f>
        <v>-20180</v>
      </c>
      <c r="K181" t="str">
        <f t="shared" si="1"/>
        <v xml:space="preserve"> </v>
      </c>
    </row>
    <row r="182" spans="1:11" x14ac:dyDescent="0.25">
      <c r="A182" s="2" t="s">
        <v>310</v>
      </c>
      <c r="B182" s="2" t="s">
        <v>311</v>
      </c>
      <c r="K182" t="str">
        <f t="shared" si="1"/>
        <v xml:space="preserve"> </v>
      </c>
    </row>
    <row r="183" spans="1:11" x14ac:dyDescent="0.25">
      <c r="A183" s="2" t="s">
        <v>312</v>
      </c>
      <c r="B183" s="2" t="s">
        <v>313</v>
      </c>
      <c r="C183" s="14">
        <v>-7675.83</v>
      </c>
      <c r="D183" s="14">
        <v>-27747.5</v>
      </c>
      <c r="E183">
        <v>-72.34</v>
      </c>
      <c r="F183">
        <v>27.66</v>
      </c>
      <c r="G183" s="14">
        <v>20071.669999999998</v>
      </c>
      <c r="I183" s="14">
        <f>-500*49.5</f>
        <v>-24750</v>
      </c>
      <c r="K183" t="str">
        <f t="shared" si="1"/>
        <v xml:space="preserve"> </v>
      </c>
    </row>
    <row r="184" spans="1:11" x14ac:dyDescent="0.25">
      <c r="A184" s="2" t="s">
        <v>314</v>
      </c>
      <c r="B184" s="2" t="s">
        <v>315</v>
      </c>
      <c r="C184" s="14">
        <v>-12188.5</v>
      </c>
      <c r="D184" s="14">
        <v>-20180</v>
      </c>
      <c r="E184">
        <v>-39.6</v>
      </c>
      <c r="F184">
        <v>60.4</v>
      </c>
      <c r="G184" s="14">
        <v>7991.5</v>
      </c>
      <c r="K184" t="str">
        <f t="shared" si="1"/>
        <v xml:space="preserve"> </v>
      </c>
    </row>
    <row r="185" spans="1:11" x14ac:dyDescent="0.25">
      <c r="A185" s="2" t="s">
        <v>316</v>
      </c>
      <c r="B185" s="2" t="s">
        <v>317</v>
      </c>
      <c r="C185" s="14">
        <v>-762.1</v>
      </c>
      <c r="D185" s="14">
        <v>-15135</v>
      </c>
      <c r="E185">
        <v>-94.96</v>
      </c>
      <c r="F185">
        <v>5.04</v>
      </c>
      <c r="G185" s="14">
        <v>14372.9</v>
      </c>
      <c r="I185" s="14">
        <v>-5000</v>
      </c>
      <c r="K185" t="str">
        <f t="shared" si="1"/>
        <v xml:space="preserve"> </v>
      </c>
    </row>
    <row r="186" spans="1:11" x14ac:dyDescent="0.25">
      <c r="A186" s="2" t="s">
        <v>318</v>
      </c>
      <c r="B186" s="2" t="s">
        <v>319</v>
      </c>
      <c r="C186" s="14">
        <v>-3362.93</v>
      </c>
      <c r="D186" s="14">
        <v>-353150</v>
      </c>
      <c r="E186">
        <v>-99.05</v>
      </c>
      <c r="F186">
        <v>0.95</v>
      </c>
      <c r="G186" s="14">
        <v>349787.07</v>
      </c>
      <c r="I186" s="14">
        <v>0</v>
      </c>
      <c r="K186" t="str">
        <f t="shared" si="1"/>
        <v xml:space="preserve"> </v>
      </c>
    </row>
    <row r="187" spans="1:11" x14ac:dyDescent="0.25">
      <c r="A187" s="2" t="s">
        <v>320</v>
      </c>
      <c r="B187" s="2" t="s">
        <v>321</v>
      </c>
      <c r="C187" s="14">
        <v>-4752.76</v>
      </c>
      <c r="D187" s="14">
        <v>-22198</v>
      </c>
      <c r="E187">
        <v>-78.59</v>
      </c>
      <c r="F187">
        <v>21.41</v>
      </c>
      <c r="G187" s="14">
        <v>17445.240000000002</v>
      </c>
      <c r="I187" s="14">
        <f>49.5*-400</f>
        <v>-19800</v>
      </c>
      <c r="K187" t="str">
        <f t="shared" si="1"/>
        <v xml:space="preserve"> </v>
      </c>
    </row>
    <row r="188" spans="1:11" x14ac:dyDescent="0.25">
      <c r="A188" s="2" t="s">
        <v>322</v>
      </c>
      <c r="B188" s="2" t="s">
        <v>323</v>
      </c>
      <c r="C188" s="14">
        <v>-45109.46</v>
      </c>
      <c r="D188" s="14">
        <v>-302700</v>
      </c>
      <c r="E188">
        <v>-85.1</v>
      </c>
      <c r="F188">
        <v>14.9</v>
      </c>
      <c r="G188" s="14">
        <v>257590.54</v>
      </c>
      <c r="I188" s="14">
        <f>-200000-55000</f>
        <v>-255000</v>
      </c>
      <c r="K188" t="str">
        <f t="shared" si="1"/>
        <v xml:space="preserve"> </v>
      </c>
    </row>
    <row r="189" spans="1:11" x14ac:dyDescent="0.25">
      <c r="A189" s="2" t="s">
        <v>324</v>
      </c>
      <c r="B189" s="2" t="s">
        <v>325</v>
      </c>
      <c r="K189" t="str">
        <f t="shared" si="1"/>
        <v xml:space="preserve"> </v>
      </c>
    </row>
    <row r="190" spans="1:11" x14ac:dyDescent="0.25">
      <c r="A190" s="2" t="s">
        <v>326</v>
      </c>
      <c r="B190" s="2" t="s">
        <v>327</v>
      </c>
      <c r="K190" t="str">
        <f t="shared" si="1"/>
        <v xml:space="preserve"> </v>
      </c>
    </row>
    <row r="191" spans="1:11" x14ac:dyDescent="0.25">
      <c r="A191" s="2" t="s">
        <v>328</v>
      </c>
      <c r="B191" s="2" t="s">
        <v>329</v>
      </c>
      <c r="K191" t="str">
        <f t="shared" si="1"/>
        <v xml:space="preserve"> </v>
      </c>
    </row>
    <row r="192" spans="1:11" x14ac:dyDescent="0.25">
      <c r="A192" s="2" t="s">
        <v>330</v>
      </c>
      <c r="B192" s="2" t="s">
        <v>331</v>
      </c>
      <c r="C192" s="14">
        <v>-450.4</v>
      </c>
      <c r="D192" s="14">
        <v>-50450</v>
      </c>
      <c r="E192">
        <v>-99.11</v>
      </c>
      <c r="F192">
        <v>0.89</v>
      </c>
      <c r="G192" s="14">
        <v>49999.6</v>
      </c>
      <c r="I192" s="14">
        <v>-10000</v>
      </c>
      <c r="K192" t="str">
        <f t="shared" si="1"/>
        <v xml:space="preserve"> </v>
      </c>
    </row>
    <row r="193" spans="1:11" x14ac:dyDescent="0.25">
      <c r="A193" s="2" t="s">
        <v>332</v>
      </c>
      <c r="B193" s="2" t="s">
        <v>333</v>
      </c>
      <c r="K193" t="str">
        <f t="shared" si="1"/>
        <v xml:space="preserve"> </v>
      </c>
    </row>
    <row r="194" spans="1:11" x14ac:dyDescent="0.25">
      <c r="A194" s="2" t="s">
        <v>334</v>
      </c>
      <c r="B194" s="2" t="s">
        <v>335</v>
      </c>
      <c r="K194" t="str">
        <f t="shared" si="1"/>
        <v xml:space="preserve"> </v>
      </c>
    </row>
    <row r="195" spans="1:11" x14ac:dyDescent="0.25">
      <c r="A195" s="2" t="s">
        <v>336</v>
      </c>
      <c r="B195" s="2" t="s">
        <v>337</v>
      </c>
      <c r="K195" t="str">
        <f t="shared" si="1"/>
        <v xml:space="preserve"> </v>
      </c>
    </row>
    <row r="196" spans="1:11" x14ac:dyDescent="0.25">
      <c r="A196" s="2" t="s">
        <v>338</v>
      </c>
      <c r="B196" s="2" t="s">
        <v>339</v>
      </c>
      <c r="K196" t="str">
        <f t="shared" si="1"/>
        <v xml:space="preserve"> </v>
      </c>
    </row>
    <row r="197" spans="1:11" x14ac:dyDescent="0.25">
      <c r="A197" s="3" t="s">
        <v>340</v>
      </c>
      <c r="B197" s="3" t="s">
        <v>341</v>
      </c>
      <c r="C197" s="15">
        <v>-853070.7</v>
      </c>
      <c r="D197" s="15">
        <v>-3725053.5</v>
      </c>
      <c r="E197" s="4">
        <v>-77.099999999999994</v>
      </c>
      <c r="F197" s="4">
        <v>22.9</v>
      </c>
      <c r="G197" s="15">
        <v>2871982.8</v>
      </c>
      <c r="I197" s="15">
        <f>SUM(I138:I196)</f>
        <v>-3681361.8626999995</v>
      </c>
      <c r="K197" t="str">
        <f t="shared" si="1"/>
        <v xml:space="preserve"> </v>
      </c>
    </row>
    <row r="198" spans="1:11" x14ac:dyDescent="0.25">
      <c r="A198" s="2" t="s">
        <v>12</v>
      </c>
      <c r="B198" s="2" t="s">
        <v>12</v>
      </c>
      <c r="K198" t="str">
        <f t="shared" si="1"/>
        <v xml:space="preserve"> </v>
      </c>
    </row>
    <row r="199" spans="1:11" x14ac:dyDescent="0.25">
      <c r="A199" s="3" t="s">
        <v>342</v>
      </c>
      <c r="B199" s="3" t="s">
        <v>343</v>
      </c>
      <c r="C199" s="15"/>
      <c r="D199" s="15"/>
      <c r="E199" s="4"/>
      <c r="F199" s="4"/>
      <c r="G199" s="15"/>
      <c r="I199" s="15"/>
      <c r="K199" t="str">
        <f t="shared" si="1"/>
        <v xml:space="preserve"> </v>
      </c>
    </row>
    <row r="200" spans="1:11" x14ac:dyDescent="0.25">
      <c r="A200" s="2" t="s">
        <v>344</v>
      </c>
      <c r="B200" s="2" t="s">
        <v>345</v>
      </c>
      <c r="K200" t="str">
        <f t="shared" si="1"/>
        <v xml:space="preserve"> </v>
      </c>
    </row>
    <row r="201" spans="1:11" x14ac:dyDescent="0.25">
      <c r="A201" s="2" t="s">
        <v>346</v>
      </c>
      <c r="B201" s="2" t="s">
        <v>347</v>
      </c>
      <c r="K201" t="str">
        <f t="shared" si="1"/>
        <v xml:space="preserve"> </v>
      </c>
    </row>
    <row r="202" spans="1:11" x14ac:dyDescent="0.25">
      <c r="A202" s="2" t="s">
        <v>348</v>
      </c>
      <c r="B202" s="2" t="s">
        <v>349</v>
      </c>
      <c r="K202" t="str">
        <f t="shared" si="1"/>
        <v xml:space="preserve"> </v>
      </c>
    </row>
    <row r="203" spans="1:11" x14ac:dyDescent="0.25">
      <c r="A203" s="2" t="s">
        <v>350</v>
      </c>
      <c r="B203" s="2" t="s">
        <v>351</v>
      </c>
      <c r="K203" t="str">
        <f t="shared" si="1"/>
        <v xml:space="preserve"> </v>
      </c>
    </row>
    <row r="204" spans="1:11" x14ac:dyDescent="0.25">
      <c r="A204" s="2" t="s">
        <v>352</v>
      </c>
      <c r="B204" s="2" t="s">
        <v>353</v>
      </c>
      <c r="K204" t="str">
        <f t="shared" si="1"/>
        <v xml:space="preserve"> </v>
      </c>
    </row>
    <row r="205" spans="1:11" x14ac:dyDescent="0.25">
      <c r="A205" s="2" t="s">
        <v>354</v>
      </c>
      <c r="B205" s="2" t="s">
        <v>355</v>
      </c>
      <c r="K205" t="str">
        <f t="shared" si="1"/>
        <v xml:space="preserve"> </v>
      </c>
    </row>
    <row r="206" spans="1:11" x14ac:dyDescent="0.25">
      <c r="A206" s="2" t="s">
        <v>356</v>
      </c>
      <c r="B206" s="2" t="s">
        <v>357</v>
      </c>
      <c r="K206" t="str">
        <f t="shared" si="1"/>
        <v xml:space="preserve"> </v>
      </c>
    </row>
    <row r="207" spans="1:11" x14ac:dyDescent="0.25">
      <c r="A207" s="2" t="s">
        <v>358</v>
      </c>
      <c r="B207" s="2" t="s">
        <v>359</v>
      </c>
      <c r="K207" t="str">
        <f t="shared" si="1"/>
        <v xml:space="preserve"> </v>
      </c>
    </row>
    <row r="208" spans="1:11" x14ac:dyDescent="0.25">
      <c r="A208" s="3" t="s">
        <v>360</v>
      </c>
      <c r="B208" s="3" t="s">
        <v>361</v>
      </c>
      <c r="C208" s="15"/>
      <c r="D208" s="15"/>
      <c r="E208" s="4"/>
      <c r="F208" s="4"/>
      <c r="G208" s="15"/>
      <c r="I208" s="15">
        <f>SUM(I200:I207)</f>
        <v>0</v>
      </c>
      <c r="K208" t="str">
        <f t="shared" si="1"/>
        <v xml:space="preserve"> </v>
      </c>
    </row>
    <row r="209" spans="1:11" x14ac:dyDescent="0.25">
      <c r="A209" s="2" t="s">
        <v>12</v>
      </c>
      <c r="B209" s="2" t="s">
        <v>12</v>
      </c>
      <c r="K209" t="str">
        <f t="shared" si="1"/>
        <v xml:space="preserve"> </v>
      </c>
    </row>
    <row r="210" spans="1:11" x14ac:dyDescent="0.25">
      <c r="A210" s="3" t="s">
        <v>362</v>
      </c>
      <c r="B210" s="3" t="s">
        <v>40</v>
      </c>
      <c r="C210" s="15"/>
      <c r="D210" s="15"/>
      <c r="E210" s="4"/>
      <c r="F210" s="4"/>
      <c r="G210" s="15"/>
      <c r="I210" s="15"/>
      <c r="K210" t="str">
        <f t="shared" si="1"/>
        <v xml:space="preserve"> </v>
      </c>
    </row>
    <row r="211" spans="1:11" x14ac:dyDescent="0.25">
      <c r="A211" s="2" t="s">
        <v>363</v>
      </c>
      <c r="B211" s="2" t="s">
        <v>364</v>
      </c>
      <c r="K211" t="str">
        <f t="shared" si="1"/>
        <v xml:space="preserve"> </v>
      </c>
    </row>
    <row r="212" spans="1:11" x14ac:dyDescent="0.25">
      <c r="A212" s="2" t="s">
        <v>365</v>
      </c>
      <c r="B212" s="2" t="s">
        <v>366</v>
      </c>
      <c r="K212" t="str">
        <f t="shared" si="1"/>
        <v xml:space="preserve"> </v>
      </c>
    </row>
    <row r="213" spans="1:11" x14ac:dyDescent="0.25">
      <c r="A213" s="2" t="s">
        <v>367</v>
      </c>
      <c r="B213" s="2" t="s">
        <v>368</v>
      </c>
      <c r="K213" t="str">
        <f t="shared" ref="K213:K244" si="2">IF(I213&gt;0,1," ")</f>
        <v xml:space="preserve"> </v>
      </c>
    </row>
    <row r="214" spans="1:11" x14ac:dyDescent="0.25">
      <c r="A214" s="2" t="s">
        <v>369</v>
      </c>
      <c r="B214" s="2" t="s">
        <v>370</v>
      </c>
      <c r="K214" t="str">
        <f t="shared" si="2"/>
        <v xml:space="preserve"> </v>
      </c>
    </row>
    <row r="215" spans="1:11" x14ac:dyDescent="0.25">
      <c r="A215" s="2" t="s">
        <v>371</v>
      </c>
      <c r="B215" s="2" t="s">
        <v>372</v>
      </c>
      <c r="K215" t="str">
        <f t="shared" si="2"/>
        <v xml:space="preserve"> </v>
      </c>
    </row>
    <row r="216" spans="1:11" x14ac:dyDescent="0.25">
      <c r="A216" s="2" t="s">
        <v>373</v>
      </c>
      <c r="B216" s="2" t="s">
        <v>374</v>
      </c>
      <c r="K216" t="str">
        <f t="shared" si="2"/>
        <v xml:space="preserve"> </v>
      </c>
    </row>
    <row r="217" spans="1:11" x14ac:dyDescent="0.25">
      <c r="A217" s="2" t="s">
        <v>375</v>
      </c>
      <c r="B217" s="2" t="s">
        <v>376</v>
      </c>
      <c r="K217" t="str">
        <f t="shared" si="2"/>
        <v xml:space="preserve"> </v>
      </c>
    </row>
    <row r="218" spans="1:11" x14ac:dyDescent="0.25">
      <c r="A218" s="3" t="s">
        <v>377</v>
      </c>
      <c r="B218" s="3" t="s">
        <v>378</v>
      </c>
      <c r="C218" s="15"/>
      <c r="D218" s="15"/>
      <c r="E218" s="4"/>
      <c r="F218" s="4"/>
      <c r="G218" s="15"/>
      <c r="I218" s="15">
        <f>SUM(I211:I217)</f>
        <v>0</v>
      </c>
      <c r="K218" t="str">
        <f t="shared" si="2"/>
        <v xml:space="preserve"> </v>
      </c>
    </row>
    <row r="219" spans="1:11" x14ac:dyDescent="0.25">
      <c r="A219" s="2" t="s">
        <v>12</v>
      </c>
      <c r="B219" s="2" t="s">
        <v>12</v>
      </c>
      <c r="K219" t="str">
        <f t="shared" si="2"/>
        <v xml:space="preserve"> </v>
      </c>
    </row>
    <row r="220" spans="1:11" x14ac:dyDescent="0.25">
      <c r="A220" s="3" t="s">
        <v>379</v>
      </c>
      <c r="B220" s="3" t="s">
        <v>380</v>
      </c>
      <c r="C220" s="15"/>
      <c r="D220" s="15"/>
      <c r="E220" s="4"/>
      <c r="F220" s="4"/>
      <c r="G220" s="15"/>
      <c r="I220" s="15"/>
      <c r="K220" t="str">
        <f t="shared" si="2"/>
        <v xml:space="preserve"> </v>
      </c>
    </row>
    <row r="221" spans="1:11" x14ac:dyDescent="0.25">
      <c r="A221" s="2" t="s">
        <v>381</v>
      </c>
      <c r="B221" s="2" t="s">
        <v>380</v>
      </c>
      <c r="K221" t="str">
        <f t="shared" si="2"/>
        <v xml:space="preserve"> </v>
      </c>
    </row>
    <row r="222" spans="1:11" x14ac:dyDescent="0.25">
      <c r="A222" s="3" t="s">
        <v>382</v>
      </c>
      <c r="B222" s="3" t="s">
        <v>383</v>
      </c>
      <c r="C222" s="15"/>
      <c r="D222" s="15"/>
      <c r="E222" s="4"/>
      <c r="F222" s="4"/>
      <c r="G222" s="15"/>
      <c r="I222" s="15">
        <f>I221</f>
        <v>0</v>
      </c>
      <c r="K222" t="str">
        <f t="shared" si="2"/>
        <v xml:space="preserve"> </v>
      </c>
    </row>
    <row r="223" spans="1:11" x14ac:dyDescent="0.25">
      <c r="A223" s="2" t="s">
        <v>12</v>
      </c>
      <c r="B223" s="2" t="s">
        <v>12</v>
      </c>
      <c r="K223" t="str">
        <f t="shared" si="2"/>
        <v xml:space="preserve"> </v>
      </c>
    </row>
    <row r="224" spans="1:11" x14ac:dyDescent="0.25">
      <c r="A224" s="3" t="s">
        <v>384</v>
      </c>
      <c r="B224" s="3" t="s">
        <v>385</v>
      </c>
      <c r="C224" s="15"/>
      <c r="D224" s="15"/>
      <c r="E224" s="4"/>
      <c r="F224" s="4"/>
      <c r="G224" s="15"/>
      <c r="I224" s="15"/>
      <c r="K224" t="str">
        <f t="shared" si="2"/>
        <v xml:space="preserve"> </v>
      </c>
    </row>
    <row r="225" spans="1:11" x14ac:dyDescent="0.25">
      <c r="A225" s="2" t="s">
        <v>386</v>
      </c>
      <c r="B225" s="2" t="s">
        <v>385</v>
      </c>
      <c r="K225" t="str">
        <f t="shared" si="2"/>
        <v xml:space="preserve"> </v>
      </c>
    </row>
    <row r="226" spans="1:11" x14ac:dyDescent="0.25">
      <c r="A226" s="3" t="s">
        <v>387</v>
      </c>
      <c r="B226" s="3" t="s">
        <v>388</v>
      </c>
      <c r="C226" s="15"/>
      <c r="D226" s="15"/>
      <c r="E226" s="4"/>
      <c r="F226" s="4"/>
      <c r="G226" s="15"/>
      <c r="I226" s="15">
        <f>I225</f>
        <v>0</v>
      </c>
      <c r="K226" t="str">
        <f t="shared" si="2"/>
        <v xml:space="preserve"> </v>
      </c>
    </row>
    <row r="227" spans="1:11" x14ac:dyDescent="0.25">
      <c r="A227" s="2" t="s">
        <v>12</v>
      </c>
      <c r="B227" s="2" t="s">
        <v>12</v>
      </c>
      <c r="K227" t="str">
        <f t="shared" si="2"/>
        <v xml:space="preserve"> </v>
      </c>
    </row>
    <row r="228" spans="1:11" ht="15.75" thickBot="1" x14ac:dyDescent="0.3">
      <c r="A228" s="5" t="s">
        <v>389</v>
      </c>
      <c r="B228" s="5" t="s">
        <v>390</v>
      </c>
      <c r="C228" s="16">
        <v>-505721.56</v>
      </c>
      <c r="D228" s="16">
        <v>-2002862.76</v>
      </c>
      <c r="E228" s="6">
        <v>-74.75</v>
      </c>
      <c r="F228" s="6">
        <v>25.25</v>
      </c>
      <c r="G228" s="16">
        <v>1497141.2</v>
      </c>
      <c r="I228" s="16">
        <f>I126+I135+I197+I208+I218+I222+I226</f>
        <v>-1356967.0226999996</v>
      </c>
      <c r="K228" t="str">
        <f t="shared" si="2"/>
        <v xml:space="preserve"> </v>
      </c>
    </row>
    <row r="229" spans="1:11" ht="15.75" thickTop="1" x14ac:dyDescent="0.25">
      <c r="A229" s="2" t="s">
        <v>12</v>
      </c>
      <c r="B229" s="2" t="s">
        <v>12</v>
      </c>
      <c r="K229" t="str">
        <f t="shared" si="2"/>
        <v xml:space="preserve"> </v>
      </c>
    </row>
    <row r="230" spans="1:11" x14ac:dyDescent="0.25">
      <c r="A230" s="3" t="s">
        <v>391</v>
      </c>
      <c r="B230" s="3" t="s">
        <v>392</v>
      </c>
      <c r="C230" s="15"/>
      <c r="D230" s="15"/>
      <c r="E230" s="4"/>
      <c r="F230" s="4"/>
      <c r="G230" s="15"/>
      <c r="I230" s="15"/>
      <c r="K230" t="str">
        <f t="shared" si="2"/>
        <v xml:space="preserve"> </v>
      </c>
    </row>
    <row r="231" spans="1:11" x14ac:dyDescent="0.25">
      <c r="A231" s="2" t="s">
        <v>393</v>
      </c>
      <c r="B231" s="2" t="s">
        <v>394</v>
      </c>
      <c r="K231" t="str">
        <f t="shared" si="2"/>
        <v xml:space="preserve"> </v>
      </c>
    </row>
    <row r="232" spans="1:11" x14ac:dyDescent="0.25">
      <c r="A232" s="2" t="s">
        <v>395</v>
      </c>
      <c r="B232" s="2" t="s">
        <v>396</v>
      </c>
      <c r="K232" t="str">
        <f t="shared" si="2"/>
        <v xml:space="preserve"> </v>
      </c>
    </row>
    <row r="233" spans="1:11" x14ac:dyDescent="0.25">
      <c r="A233" s="2" t="s">
        <v>397</v>
      </c>
      <c r="B233" s="2" t="s">
        <v>398</v>
      </c>
      <c r="K233" t="str">
        <f t="shared" si="2"/>
        <v xml:space="preserve"> </v>
      </c>
    </row>
    <row r="234" spans="1:11" x14ac:dyDescent="0.25">
      <c r="A234" s="3" t="s">
        <v>399</v>
      </c>
      <c r="B234" s="3" t="s">
        <v>400</v>
      </c>
      <c r="C234" s="15"/>
      <c r="D234" s="15"/>
      <c r="E234" s="4"/>
      <c r="F234" s="4"/>
      <c r="G234" s="15"/>
      <c r="I234" s="15">
        <f>SUM(I231:I233)</f>
        <v>0</v>
      </c>
      <c r="K234" t="str">
        <f t="shared" si="2"/>
        <v xml:space="preserve"> </v>
      </c>
    </row>
    <row r="235" spans="1:11" x14ac:dyDescent="0.25">
      <c r="A235" s="2" t="s">
        <v>12</v>
      </c>
      <c r="B235" s="2" t="s">
        <v>12</v>
      </c>
      <c r="K235" t="str">
        <f t="shared" si="2"/>
        <v xml:space="preserve"> </v>
      </c>
    </row>
    <row r="236" spans="1:11" ht="15.75" thickBot="1" x14ac:dyDescent="0.3">
      <c r="A236" s="5" t="s">
        <v>12</v>
      </c>
      <c r="B236" s="5" t="s">
        <v>46</v>
      </c>
      <c r="C236" s="16">
        <v>-505721.56</v>
      </c>
      <c r="D236" s="16">
        <v>-2002862.76</v>
      </c>
      <c r="E236" s="6">
        <v>-74.75</v>
      </c>
      <c r="F236" s="6">
        <v>25.25</v>
      </c>
      <c r="G236" s="16">
        <v>1497141.2</v>
      </c>
      <c r="I236" s="16">
        <f>I228+I234</f>
        <v>-1356967.0226999996</v>
      </c>
      <c r="K236" t="str">
        <f t="shared" si="2"/>
        <v xml:space="preserve"> </v>
      </c>
    </row>
    <row r="237" spans="1:11" ht="15.75" thickTop="1" x14ac:dyDescent="0.25">
      <c r="A237" s="2" t="s">
        <v>12</v>
      </c>
      <c r="B237" s="2" t="s">
        <v>12</v>
      </c>
      <c r="K237" t="str">
        <f t="shared" si="2"/>
        <v xml:space="preserve"> </v>
      </c>
    </row>
    <row r="238" spans="1:11" x14ac:dyDescent="0.25">
      <c r="A238" s="2" t="s">
        <v>401</v>
      </c>
      <c r="B238" s="2" t="s">
        <v>402</v>
      </c>
      <c r="K238" t="str">
        <f t="shared" si="2"/>
        <v xml:space="preserve"> </v>
      </c>
    </row>
    <row r="239" spans="1:11" x14ac:dyDescent="0.25">
      <c r="A239" s="2" t="s">
        <v>403</v>
      </c>
      <c r="B239" s="2" t="s">
        <v>404</v>
      </c>
      <c r="K239" t="str">
        <f t="shared" si="2"/>
        <v xml:space="preserve"> </v>
      </c>
    </row>
    <row r="240" spans="1:11" x14ac:dyDescent="0.25">
      <c r="A240" s="2" t="s">
        <v>405</v>
      </c>
      <c r="B240" s="2" t="s">
        <v>406</v>
      </c>
      <c r="C240" s="14">
        <v>-82590.63</v>
      </c>
      <c r="D240" s="14">
        <v>-127468.26</v>
      </c>
      <c r="E240">
        <v>-35.21</v>
      </c>
      <c r="F240">
        <v>64.790000000000006</v>
      </c>
      <c r="G240" s="14">
        <v>44877.63</v>
      </c>
      <c r="I240" s="14">
        <f>-135000-13000</f>
        <v>-148000</v>
      </c>
      <c r="K240" t="str">
        <f t="shared" si="2"/>
        <v xml:space="preserve"> </v>
      </c>
    </row>
    <row r="241" spans="1:11" x14ac:dyDescent="0.25">
      <c r="A241" s="2" t="s">
        <v>407</v>
      </c>
      <c r="B241" s="2" t="s">
        <v>408</v>
      </c>
      <c r="K241" t="str">
        <f t="shared" si="2"/>
        <v xml:space="preserve"> </v>
      </c>
    </row>
    <row r="242" spans="1:11" x14ac:dyDescent="0.25">
      <c r="A242" s="3" t="s">
        <v>409</v>
      </c>
      <c r="B242" s="3" t="s">
        <v>410</v>
      </c>
      <c r="C242" s="15">
        <v>-82590.63</v>
      </c>
      <c r="D242" s="15">
        <v>-127468.26</v>
      </c>
      <c r="E242" s="4">
        <v>-35.21</v>
      </c>
      <c r="F242" s="4">
        <v>64.790000000000006</v>
      </c>
      <c r="G242" s="15">
        <v>44877.63</v>
      </c>
      <c r="I242" s="15">
        <f>SUM(I238:I241)</f>
        <v>-148000</v>
      </c>
      <c r="K242" t="str">
        <f t="shared" si="2"/>
        <v xml:space="preserve"> </v>
      </c>
    </row>
    <row r="243" spans="1:11" x14ac:dyDescent="0.25">
      <c r="A243" s="2" t="s">
        <v>12</v>
      </c>
      <c r="B243" s="2" t="s">
        <v>12</v>
      </c>
      <c r="K243" t="str">
        <f t="shared" si="2"/>
        <v xml:space="preserve"> </v>
      </c>
    </row>
    <row r="244" spans="1:11" ht="15.75" thickBot="1" x14ac:dyDescent="0.3">
      <c r="A244" s="5" t="s">
        <v>411</v>
      </c>
      <c r="B244" s="5" t="s">
        <v>49</v>
      </c>
      <c r="C244" s="16">
        <v>-588312.18999999994</v>
      </c>
      <c r="D244" s="16">
        <v>-2130331.02</v>
      </c>
      <c r="E244" s="6">
        <v>-72.38</v>
      </c>
      <c r="F244" s="6">
        <v>27.62</v>
      </c>
      <c r="G244" s="16">
        <v>1542018.83</v>
      </c>
      <c r="I244" s="16">
        <f>I236+I242</f>
        <v>-1504967.0226999996</v>
      </c>
      <c r="K244" t="str">
        <f t="shared" si="2"/>
        <v xml:space="preserve"> </v>
      </c>
    </row>
  </sheetData>
  <sheetProtection algorithmName="SHA-512" hashValue="cdkKz6tK2SVPW8ZjrEP8RXn57kOo8x5aOvpuOFEfdh9u73qPU9rjVdOrSnozjoq7psB/4TEr/4XrfWxN2fvelg==" saltValue="ZVFpl4FF0MmGZqRKTITSAg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Likviditet</vt:lpstr>
      <vt:lpstr>Noter</vt:lpstr>
      <vt:lpstr>Budget 2023</vt:lpstr>
      <vt:lpstr>SIMULERING</vt:lpstr>
      <vt:lpstr>Administration</vt:lpstr>
      <vt:lpstr>Odense</vt:lpstr>
      <vt:lpstr>Laks</vt:lpstr>
      <vt:lpstr>Assens</vt:lpstr>
      <vt:lpstr>Nyborg</vt:lpstr>
      <vt:lpstr>Nordfyn</vt:lpstr>
      <vt:lpstr>Kerteminde</vt:lpstr>
      <vt:lpstr>Særtilskud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Majbritt Lagersted</dc:creator>
  <cp:lastModifiedBy>Hanne Heger Wendel</cp:lastModifiedBy>
  <cp:lastPrinted>2022-11-25T12:26:10Z</cp:lastPrinted>
  <dcterms:created xsi:type="dcterms:W3CDTF">2022-09-06T07:50:45Z</dcterms:created>
  <dcterms:modified xsi:type="dcterms:W3CDTF">2022-12-01T17:06:22Z</dcterms:modified>
</cp:coreProperties>
</file>